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L:\Lab-Knepper\Knepper_Lab\Depot - Kidney Cell Atlas\Submission\Resumbission\Manuscript\"/>
    </mc:Choice>
  </mc:AlternateContent>
  <xr:revisionPtr revIDLastSave="0" documentId="13_ncr:1_{76B79D3A-CCB4-41EC-A264-4BCA0E918AE7}" xr6:coauthVersionLast="36" xr6:coauthVersionMax="36" xr10:uidLastSave="{00000000-0000-0000-0000-000000000000}"/>
  <bookViews>
    <workbookView xWindow="0" yWindow="0" windowWidth="15360" windowHeight="5790" xr2:uid="{52BF47AC-70FF-4159-A322-A728587D4311}"/>
  </bookViews>
  <sheets>
    <sheet name="Readme" sheetId="13" r:id="rId1"/>
    <sheet name="Rat Tubule Count" sheetId="1" r:id="rId2"/>
    <sheet name="Rat Length per Tubule" sheetId="2" r:id="rId3"/>
    <sheet name="Total lengths of each segment" sheetId="3" r:id="rId4"/>
    <sheet name="Cell count density" sheetId="4" r:id="rId5"/>
    <sheet name="Cell count total and percent" sheetId="5" r:id="rId6"/>
    <sheet name="Protein mass per mm length" sheetId="6" r:id="rId7"/>
    <sheet name="Total protein mass each cell ty" sheetId="7" r:id="rId8"/>
    <sheet name="Full table renal tubules " sheetId="8" r:id="rId9"/>
    <sheet name="podocytes" sheetId="9" r:id="rId10"/>
    <sheet name="Accounting with podocytes" sheetId="10" r:id="rId11"/>
    <sheet name="Complete Table Rat and Mouse" sheetId="12" r:id="rId12"/>
  </sheets>
  <calcPr calcId="1790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N23" i="12" l="1"/>
  <c r="P4" i="12" s="1"/>
  <c r="J7" i="12"/>
  <c r="J8" i="12"/>
  <c r="J9" i="12"/>
  <c r="J10" i="12"/>
  <c r="J11" i="12"/>
  <c r="J12" i="12"/>
  <c r="J13" i="12"/>
  <c r="J14" i="12"/>
  <c r="J15" i="12"/>
  <c r="J16" i="12"/>
  <c r="J17" i="12"/>
  <c r="J18" i="12"/>
  <c r="J19" i="12"/>
  <c r="J20" i="12"/>
  <c r="J21" i="12"/>
  <c r="J22" i="12"/>
  <c r="J6" i="12"/>
  <c r="L15" i="12" l="1"/>
  <c r="P19" i="12"/>
  <c r="P11" i="12"/>
  <c r="P18" i="12"/>
  <c r="P10" i="12"/>
  <c r="P17" i="12"/>
  <c r="P9" i="12"/>
  <c r="J23" i="12"/>
  <c r="L9" i="12" s="1"/>
  <c r="P21" i="12"/>
  <c r="P13" i="12"/>
  <c r="P5" i="12"/>
  <c r="P16" i="12"/>
  <c r="P8" i="12"/>
  <c r="P3" i="12"/>
  <c r="P15" i="12"/>
  <c r="P7" i="12"/>
  <c r="P22" i="12"/>
  <c r="P14" i="12"/>
  <c r="P6" i="12"/>
  <c r="P20" i="12"/>
  <c r="P12" i="12"/>
  <c r="L3" i="10"/>
  <c r="F3" i="10"/>
  <c r="G149" i="10"/>
  <c r="G148" i="10"/>
  <c r="G147" i="10"/>
  <c r="G146" i="10"/>
  <c r="G145" i="10"/>
  <c r="G144" i="10"/>
  <c r="F111" i="10"/>
  <c r="A111" i="10"/>
  <c r="E78" i="10"/>
  <c r="E77" i="10"/>
  <c r="L25" i="10"/>
  <c r="M25" i="10" s="1"/>
  <c r="N25" i="10" s="1"/>
  <c r="F25" i="10"/>
  <c r="G25" i="10" s="1"/>
  <c r="H25" i="10" s="1"/>
  <c r="D24" i="10"/>
  <c r="L24" i="10" s="1"/>
  <c r="M24" i="10" s="1"/>
  <c r="N24" i="10" s="1"/>
  <c r="D23" i="10"/>
  <c r="L23" i="10" s="1"/>
  <c r="M23" i="10" s="1"/>
  <c r="N23" i="10" s="1"/>
  <c r="D22" i="10"/>
  <c r="L22" i="10" s="1"/>
  <c r="M22" i="10" s="1"/>
  <c r="N22" i="10" s="1"/>
  <c r="D21" i="10"/>
  <c r="L21" i="10" s="1"/>
  <c r="M21" i="10" s="1"/>
  <c r="N21" i="10" s="1"/>
  <c r="D20" i="10"/>
  <c r="F20" i="10" s="1"/>
  <c r="G20" i="10" s="1"/>
  <c r="H20" i="10" s="1"/>
  <c r="D19" i="10"/>
  <c r="F19" i="10" s="1"/>
  <c r="G19" i="10" s="1"/>
  <c r="H19" i="10" s="1"/>
  <c r="L18" i="10"/>
  <c r="M18" i="10" s="1"/>
  <c r="N18" i="10" s="1"/>
  <c r="D18" i="10"/>
  <c r="F18" i="10" s="1"/>
  <c r="G18" i="10" s="1"/>
  <c r="H18" i="10" s="1"/>
  <c r="F17" i="10"/>
  <c r="G17" i="10" s="1"/>
  <c r="H17" i="10" s="1"/>
  <c r="D17" i="10"/>
  <c r="L17" i="10" s="1"/>
  <c r="M17" i="10" s="1"/>
  <c r="N17" i="10" s="1"/>
  <c r="Q23" i="10" s="1"/>
  <c r="D16" i="10"/>
  <c r="F16" i="10" s="1"/>
  <c r="G16" i="10" s="1"/>
  <c r="H16" i="10" s="1"/>
  <c r="D15" i="10"/>
  <c r="L15" i="10" s="1"/>
  <c r="M15" i="10" s="1"/>
  <c r="N15" i="10" s="1"/>
  <c r="D14" i="10"/>
  <c r="L14" i="10" s="1"/>
  <c r="M14" i="10" s="1"/>
  <c r="N14" i="10" s="1"/>
  <c r="D13" i="10"/>
  <c r="L13" i="10" s="1"/>
  <c r="M13" i="10" s="1"/>
  <c r="N13" i="10" s="1"/>
  <c r="Q14" i="10" s="1"/>
  <c r="L12" i="10"/>
  <c r="M12" i="10" s="1"/>
  <c r="N12" i="10" s="1"/>
  <c r="F12" i="10"/>
  <c r="G12" i="10" s="1"/>
  <c r="H12" i="10" s="1"/>
  <c r="L11" i="10"/>
  <c r="M11" i="10" s="1"/>
  <c r="N11" i="10" s="1"/>
  <c r="F11" i="10"/>
  <c r="G11" i="10" s="1"/>
  <c r="H11" i="10" s="1"/>
  <c r="D10" i="10"/>
  <c r="F10" i="10" s="1"/>
  <c r="G10" i="10" s="1"/>
  <c r="H10" i="10" s="1"/>
  <c r="B9" i="10"/>
  <c r="D9" i="10" s="1"/>
  <c r="L8" i="10"/>
  <c r="M8" i="10" s="1"/>
  <c r="N8" i="10" s="1"/>
  <c r="D8" i="10"/>
  <c r="F8" i="10" s="1"/>
  <c r="G8" i="10" s="1"/>
  <c r="H8" i="10" s="1"/>
  <c r="D7" i="10"/>
  <c r="F7" i="10" s="1"/>
  <c r="G7" i="10" s="1"/>
  <c r="H7" i="10" s="1"/>
  <c r="C6" i="10"/>
  <c r="D6" i="10" s="1"/>
  <c r="B44" i="9"/>
  <c r="B45" i="9" s="1"/>
  <c r="B47" i="9" s="1"/>
  <c r="B41" i="9"/>
  <c r="G146" i="8"/>
  <c r="G145" i="8"/>
  <c r="G144" i="8"/>
  <c r="G143" i="8"/>
  <c r="G142" i="8"/>
  <c r="G141" i="8"/>
  <c r="F108" i="8"/>
  <c r="A108" i="8"/>
  <c r="E74" i="8"/>
  <c r="E75" i="8" s="1"/>
  <c r="L22" i="8"/>
  <c r="M22" i="8" s="1"/>
  <c r="N22" i="8" s="1"/>
  <c r="F22" i="8"/>
  <c r="G22" i="8" s="1"/>
  <c r="H22" i="8" s="1"/>
  <c r="D21" i="8"/>
  <c r="F21" i="8" s="1"/>
  <c r="G21" i="8" s="1"/>
  <c r="H21" i="8" s="1"/>
  <c r="D20" i="8"/>
  <c r="F20" i="8" s="1"/>
  <c r="G20" i="8" s="1"/>
  <c r="H20" i="8" s="1"/>
  <c r="D19" i="8"/>
  <c r="F19" i="8" s="1"/>
  <c r="G19" i="8" s="1"/>
  <c r="H19" i="8" s="1"/>
  <c r="D18" i="8"/>
  <c r="F18" i="8" s="1"/>
  <c r="G18" i="8" s="1"/>
  <c r="H18" i="8" s="1"/>
  <c r="D17" i="8"/>
  <c r="L17" i="8" s="1"/>
  <c r="M17" i="8" s="1"/>
  <c r="N17" i="8" s="1"/>
  <c r="D16" i="8"/>
  <c r="L16" i="8" s="1"/>
  <c r="M16" i="8" s="1"/>
  <c r="N16" i="8" s="1"/>
  <c r="D15" i="8"/>
  <c r="L15" i="8" s="1"/>
  <c r="M15" i="8" s="1"/>
  <c r="N15" i="8" s="1"/>
  <c r="D14" i="8"/>
  <c r="D13" i="8"/>
  <c r="L13" i="8" s="1"/>
  <c r="M13" i="8" s="1"/>
  <c r="N13" i="8" s="1"/>
  <c r="D12" i="8"/>
  <c r="F12" i="8" s="1"/>
  <c r="G12" i="8" s="1"/>
  <c r="H12" i="8" s="1"/>
  <c r="D11" i="8"/>
  <c r="F11" i="8" s="1"/>
  <c r="G11" i="8" s="1"/>
  <c r="H11" i="8" s="1"/>
  <c r="D10" i="8"/>
  <c r="F10" i="8" s="1"/>
  <c r="G10" i="8" s="1"/>
  <c r="H10" i="8" s="1"/>
  <c r="J11" i="8" s="1"/>
  <c r="L9" i="8"/>
  <c r="M9" i="8" s="1"/>
  <c r="N9" i="8" s="1"/>
  <c r="F9" i="8"/>
  <c r="G9" i="8" s="1"/>
  <c r="H9" i="8" s="1"/>
  <c r="L8" i="8"/>
  <c r="M8" i="8" s="1"/>
  <c r="N8" i="8" s="1"/>
  <c r="F8" i="8"/>
  <c r="G8" i="8" s="1"/>
  <c r="H8" i="8" s="1"/>
  <c r="D7" i="8"/>
  <c r="L7" i="8" s="1"/>
  <c r="M7" i="8" s="1"/>
  <c r="N7" i="8" s="1"/>
  <c r="B6" i="8"/>
  <c r="D6" i="8" s="1"/>
  <c r="D5" i="8"/>
  <c r="L5" i="8" s="1"/>
  <c r="M5" i="8" s="1"/>
  <c r="N5" i="8" s="1"/>
  <c r="D4" i="8"/>
  <c r="C3" i="8"/>
  <c r="D3" i="8" s="1"/>
  <c r="K4" i="7"/>
  <c r="L4" i="7" s="1"/>
  <c r="J4" i="7"/>
  <c r="J5" i="7"/>
  <c r="K5" i="7" s="1"/>
  <c r="L5" i="7" s="1"/>
  <c r="J6" i="7"/>
  <c r="K6" i="7" s="1"/>
  <c r="L6" i="7" s="1"/>
  <c r="J7" i="7"/>
  <c r="K7" i="7" s="1"/>
  <c r="L7" i="7" s="1"/>
  <c r="J8" i="7"/>
  <c r="K8" i="7" s="1"/>
  <c r="L8" i="7" s="1"/>
  <c r="J12" i="7"/>
  <c r="K12" i="7" s="1"/>
  <c r="L12" i="7" s="1"/>
  <c r="J15" i="7"/>
  <c r="K15" i="7" s="1"/>
  <c r="L15" i="7" s="1"/>
  <c r="J20" i="7"/>
  <c r="K20" i="7" s="1"/>
  <c r="L20" i="7" s="1"/>
  <c r="J21" i="7"/>
  <c r="K21" i="7" s="1"/>
  <c r="L21" i="7" s="1"/>
  <c r="G145" i="7"/>
  <c r="G144" i="7"/>
  <c r="G143" i="7"/>
  <c r="G142" i="7"/>
  <c r="G141" i="7"/>
  <c r="G140" i="7"/>
  <c r="F107" i="7"/>
  <c r="A107" i="7"/>
  <c r="E73" i="7"/>
  <c r="E74" i="7" s="1"/>
  <c r="G21" i="7"/>
  <c r="H21" i="7" s="1"/>
  <c r="F21" i="7"/>
  <c r="D20" i="7"/>
  <c r="F20" i="7" s="1"/>
  <c r="G20" i="7" s="1"/>
  <c r="H20" i="7" s="1"/>
  <c r="D19" i="7"/>
  <c r="F19" i="7" s="1"/>
  <c r="G19" i="7" s="1"/>
  <c r="H19" i="7" s="1"/>
  <c r="D18" i="7"/>
  <c r="F18" i="7" s="1"/>
  <c r="G18" i="7" s="1"/>
  <c r="H18" i="7" s="1"/>
  <c r="D17" i="7"/>
  <c r="J17" i="7" s="1"/>
  <c r="K17" i="7" s="1"/>
  <c r="L17" i="7" s="1"/>
  <c r="D16" i="7"/>
  <c r="F16" i="7" s="1"/>
  <c r="G16" i="7" s="1"/>
  <c r="H16" i="7" s="1"/>
  <c r="D15" i="7"/>
  <c r="F15" i="7" s="1"/>
  <c r="G15" i="7" s="1"/>
  <c r="H15" i="7" s="1"/>
  <c r="D14" i="7"/>
  <c r="F14" i="7" s="1"/>
  <c r="G14" i="7" s="1"/>
  <c r="H14" i="7" s="1"/>
  <c r="D13" i="7"/>
  <c r="F13" i="7" s="1"/>
  <c r="G13" i="7" s="1"/>
  <c r="H13" i="7" s="1"/>
  <c r="D12" i="7"/>
  <c r="F12" i="7" s="1"/>
  <c r="G12" i="7" s="1"/>
  <c r="H12" i="7" s="1"/>
  <c r="D11" i="7"/>
  <c r="F11" i="7" s="1"/>
  <c r="G11" i="7" s="1"/>
  <c r="H11" i="7" s="1"/>
  <c r="D10" i="7"/>
  <c r="F10" i="7" s="1"/>
  <c r="G10" i="7" s="1"/>
  <c r="H10" i="7" s="1"/>
  <c r="D9" i="7"/>
  <c r="F9" i="7" s="1"/>
  <c r="G9" i="7" s="1"/>
  <c r="H9" i="7" s="1"/>
  <c r="F8" i="7"/>
  <c r="G8" i="7" s="1"/>
  <c r="H8" i="7" s="1"/>
  <c r="F7" i="7"/>
  <c r="G7" i="7" s="1"/>
  <c r="H7" i="7" s="1"/>
  <c r="D6" i="7"/>
  <c r="F6" i="7" s="1"/>
  <c r="G6" i="7" s="1"/>
  <c r="H6" i="7" s="1"/>
  <c r="B5" i="7"/>
  <c r="D5" i="7" s="1"/>
  <c r="F5" i="7" s="1"/>
  <c r="G5" i="7" s="1"/>
  <c r="H5" i="7" s="1"/>
  <c r="D4" i="7"/>
  <c r="F4" i="7" s="1"/>
  <c r="G4" i="7" s="1"/>
  <c r="H4" i="7" s="1"/>
  <c r="D3" i="7"/>
  <c r="F3" i="7" s="1"/>
  <c r="G3" i="7" s="1"/>
  <c r="H3" i="7" s="1"/>
  <c r="C2" i="7"/>
  <c r="D2" i="7" s="1"/>
  <c r="J2" i="7" s="1"/>
  <c r="G145" i="6"/>
  <c r="G144" i="6"/>
  <c r="G143" i="6"/>
  <c r="G142" i="6"/>
  <c r="G141" i="6"/>
  <c r="G140" i="6"/>
  <c r="F107" i="6"/>
  <c r="A107" i="6"/>
  <c r="E73" i="6"/>
  <c r="E74" i="6" s="1"/>
  <c r="F21" i="6"/>
  <c r="G21" i="6" s="1"/>
  <c r="H21" i="6" s="1"/>
  <c r="D20" i="6"/>
  <c r="F20" i="6" s="1"/>
  <c r="G20" i="6" s="1"/>
  <c r="H20" i="6" s="1"/>
  <c r="D19" i="6"/>
  <c r="F19" i="6" s="1"/>
  <c r="G19" i="6" s="1"/>
  <c r="H19" i="6" s="1"/>
  <c r="D18" i="6"/>
  <c r="F18" i="6" s="1"/>
  <c r="G18" i="6" s="1"/>
  <c r="H18" i="6" s="1"/>
  <c r="D17" i="6"/>
  <c r="F17" i="6" s="1"/>
  <c r="G17" i="6" s="1"/>
  <c r="H17" i="6" s="1"/>
  <c r="D16" i="6"/>
  <c r="F16" i="6" s="1"/>
  <c r="G16" i="6" s="1"/>
  <c r="H16" i="6" s="1"/>
  <c r="D15" i="6"/>
  <c r="F15" i="6" s="1"/>
  <c r="G15" i="6" s="1"/>
  <c r="H15" i="6" s="1"/>
  <c r="D14" i="6"/>
  <c r="F14" i="6" s="1"/>
  <c r="G14" i="6" s="1"/>
  <c r="H14" i="6" s="1"/>
  <c r="D13" i="6"/>
  <c r="F13" i="6" s="1"/>
  <c r="G13" i="6" s="1"/>
  <c r="H13" i="6" s="1"/>
  <c r="D12" i="6"/>
  <c r="F12" i="6" s="1"/>
  <c r="G12" i="6" s="1"/>
  <c r="H12" i="6" s="1"/>
  <c r="D11" i="6"/>
  <c r="F11" i="6" s="1"/>
  <c r="G11" i="6" s="1"/>
  <c r="H11" i="6" s="1"/>
  <c r="D10" i="6"/>
  <c r="F10" i="6" s="1"/>
  <c r="G10" i="6" s="1"/>
  <c r="H10" i="6" s="1"/>
  <c r="D9" i="6"/>
  <c r="F9" i="6" s="1"/>
  <c r="G9" i="6" s="1"/>
  <c r="H9" i="6" s="1"/>
  <c r="F8" i="6"/>
  <c r="G8" i="6" s="1"/>
  <c r="H8" i="6" s="1"/>
  <c r="F7" i="6"/>
  <c r="G7" i="6" s="1"/>
  <c r="H7" i="6" s="1"/>
  <c r="D6" i="6"/>
  <c r="F6" i="6" s="1"/>
  <c r="G6" i="6" s="1"/>
  <c r="H6" i="6" s="1"/>
  <c r="B5" i="6"/>
  <c r="D5" i="6" s="1"/>
  <c r="F5" i="6" s="1"/>
  <c r="G5" i="6" s="1"/>
  <c r="H5" i="6" s="1"/>
  <c r="D4" i="6"/>
  <c r="F4" i="6" s="1"/>
  <c r="G4" i="6" s="1"/>
  <c r="H4" i="6" s="1"/>
  <c r="D3" i="6"/>
  <c r="F3" i="6" s="1"/>
  <c r="G3" i="6" s="1"/>
  <c r="H3" i="6" s="1"/>
  <c r="C2" i="6"/>
  <c r="D2" i="6" s="1"/>
  <c r="G7" i="5"/>
  <c r="H7" i="5" s="1"/>
  <c r="F3" i="5"/>
  <c r="G3" i="5" s="1"/>
  <c r="H3" i="5" s="1"/>
  <c r="F7" i="5"/>
  <c r="F8" i="5"/>
  <c r="G8" i="5" s="1"/>
  <c r="H8" i="5" s="1"/>
  <c r="F13" i="5"/>
  <c r="G13" i="5" s="1"/>
  <c r="H13" i="5" s="1"/>
  <c r="F19" i="5"/>
  <c r="G19" i="5" s="1"/>
  <c r="H19" i="5" s="1"/>
  <c r="F20" i="5"/>
  <c r="G20" i="5" s="1"/>
  <c r="H20" i="5" s="1"/>
  <c r="F21" i="5"/>
  <c r="G21" i="5" s="1"/>
  <c r="H21" i="5" s="1"/>
  <c r="G145" i="5"/>
  <c r="G144" i="5"/>
  <c r="G143" i="5"/>
  <c r="G142" i="5"/>
  <c r="G141" i="5"/>
  <c r="G140" i="5"/>
  <c r="F107" i="5"/>
  <c r="A107" i="5"/>
  <c r="E73" i="5"/>
  <c r="E74" i="5" s="1"/>
  <c r="D20" i="5"/>
  <c r="D19" i="5"/>
  <c r="D18" i="5"/>
  <c r="F18" i="5" s="1"/>
  <c r="G18" i="5" s="1"/>
  <c r="H18" i="5" s="1"/>
  <c r="D17" i="5"/>
  <c r="F17" i="5" s="1"/>
  <c r="G17" i="5" s="1"/>
  <c r="H17" i="5" s="1"/>
  <c r="D16" i="5"/>
  <c r="F16" i="5" s="1"/>
  <c r="G16" i="5" s="1"/>
  <c r="H16" i="5" s="1"/>
  <c r="D15" i="5"/>
  <c r="F15" i="5" s="1"/>
  <c r="G15" i="5" s="1"/>
  <c r="H15" i="5" s="1"/>
  <c r="D14" i="5"/>
  <c r="F14" i="5" s="1"/>
  <c r="G14" i="5" s="1"/>
  <c r="H14" i="5" s="1"/>
  <c r="D13" i="5"/>
  <c r="D12" i="5"/>
  <c r="F12" i="5" s="1"/>
  <c r="G12" i="5" s="1"/>
  <c r="H12" i="5" s="1"/>
  <c r="J21" i="5" s="1"/>
  <c r="D11" i="5"/>
  <c r="F11" i="5" s="1"/>
  <c r="G11" i="5" s="1"/>
  <c r="H11" i="5" s="1"/>
  <c r="D10" i="5"/>
  <c r="F10" i="5" s="1"/>
  <c r="G10" i="5" s="1"/>
  <c r="H10" i="5" s="1"/>
  <c r="D9" i="5"/>
  <c r="F9" i="5" s="1"/>
  <c r="G9" i="5" s="1"/>
  <c r="H9" i="5" s="1"/>
  <c r="D6" i="5"/>
  <c r="F6" i="5" s="1"/>
  <c r="G6" i="5" s="1"/>
  <c r="H6" i="5" s="1"/>
  <c r="B5" i="5"/>
  <c r="D5" i="5" s="1"/>
  <c r="F5" i="5" s="1"/>
  <c r="G5" i="5" s="1"/>
  <c r="H5" i="5" s="1"/>
  <c r="D4" i="5"/>
  <c r="F4" i="5" s="1"/>
  <c r="G4" i="5" s="1"/>
  <c r="H4" i="5" s="1"/>
  <c r="D3" i="5"/>
  <c r="C2" i="5"/>
  <c r="D2" i="5" s="1"/>
  <c r="F2" i="5" s="1"/>
  <c r="G145" i="4"/>
  <c r="G144" i="4"/>
  <c r="G143" i="4"/>
  <c r="G142" i="4"/>
  <c r="G141" i="4"/>
  <c r="G140" i="4"/>
  <c r="F107" i="4"/>
  <c r="A107" i="4"/>
  <c r="E73" i="4"/>
  <c r="E74" i="4" s="1"/>
  <c r="D20" i="4"/>
  <c r="D19" i="4"/>
  <c r="D18" i="4"/>
  <c r="D17" i="4"/>
  <c r="D16" i="4"/>
  <c r="D15" i="4"/>
  <c r="D14" i="4"/>
  <c r="D13" i="4"/>
  <c r="D12" i="4"/>
  <c r="D11" i="4"/>
  <c r="D10" i="4"/>
  <c r="D9" i="4"/>
  <c r="D6" i="4"/>
  <c r="B5" i="4"/>
  <c r="D5" i="4" s="1"/>
  <c r="D4" i="4"/>
  <c r="D3" i="4"/>
  <c r="C2" i="4"/>
  <c r="D2" i="4" s="1"/>
  <c r="D17" i="3"/>
  <c r="D18" i="3"/>
  <c r="D19" i="3"/>
  <c r="D20" i="3"/>
  <c r="D10" i="3"/>
  <c r="D11" i="3"/>
  <c r="D12" i="3"/>
  <c r="D13" i="3"/>
  <c r="D14" i="3"/>
  <c r="D15" i="3"/>
  <c r="D16" i="3"/>
  <c r="D9" i="3"/>
  <c r="D3" i="3"/>
  <c r="D4" i="3"/>
  <c r="D5" i="3"/>
  <c r="D6" i="3"/>
  <c r="F107" i="3"/>
  <c r="A107" i="3"/>
  <c r="E73" i="3"/>
  <c r="E74" i="3" s="1"/>
  <c r="B5" i="3"/>
  <c r="C2" i="3"/>
  <c r="D2" i="3" s="1"/>
  <c r="E107" i="2"/>
  <c r="A107" i="2"/>
  <c r="L21" i="8" l="1"/>
  <c r="M21" i="8" s="1"/>
  <c r="N21" i="8" s="1"/>
  <c r="F5" i="8"/>
  <c r="G5" i="8" s="1"/>
  <c r="H5" i="8" s="1"/>
  <c r="L11" i="8"/>
  <c r="M11" i="8" s="1"/>
  <c r="N11" i="8" s="1"/>
  <c r="Q11" i="8" s="1"/>
  <c r="L12" i="8"/>
  <c r="M12" i="8" s="1"/>
  <c r="N12" i="8" s="1"/>
  <c r="L20" i="8"/>
  <c r="M20" i="8" s="1"/>
  <c r="N20" i="8" s="1"/>
  <c r="J14" i="7"/>
  <c r="K14" i="7" s="1"/>
  <c r="L14" i="7" s="1"/>
  <c r="J13" i="7"/>
  <c r="K13" i="7" s="1"/>
  <c r="L13" i="7" s="1"/>
  <c r="G2" i="5"/>
  <c r="H2" i="5" s="1"/>
  <c r="J4" i="5" s="1"/>
  <c r="F23" i="5"/>
  <c r="J20" i="5"/>
  <c r="O21" i="7"/>
  <c r="O20" i="7"/>
  <c r="O8" i="7"/>
  <c r="J8" i="5"/>
  <c r="J10" i="5"/>
  <c r="J19" i="5"/>
  <c r="Q24" i="10"/>
  <c r="F17" i="7"/>
  <c r="G17" i="7" s="1"/>
  <c r="H17" i="7" s="1"/>
  <c r="L10" i="8"/>
  <c r="M10" i="8" s="1"/>
  <c r="N10" i="8" s="1"/>
  <c r="D23" i="5"/>
  <c r="L19" i="8"/>
  <c r="M19" i="8" s="1"/>
  <c r="N19" i="8" s="1"/>
  <c r="Q22" i="8" s="1"/>
  <c r="L10" i="10"/>
  <c r="M10" i="10" s="1"/>
  <c r="N10" i="10" s="1"/>
  <c r="L17" i="12"/>
  <c r="J19" i="7"/>
  <c r="K19" i="7" s="1"/>
  <c r="L19" i="7" s="1"/>
  <c r="O19" i="7" s="1"/>
  <c r="J11" i="7"/>
  <c r="K11" i="7" s="1"/>
  <c r="L11" i="7" s="1"/>
  <c r="J3" i="7"/>
  <c r="K3" i="7" s="1"/>
  <c r="L3" i="7" s="1"/>
  <c r="F16" i="8"/>
  <c r="G16" i="8" s="1"/>
  <c r="H16" i="8" s="1"/>
  <c r="L20" i="10"/>
  <c r="M20" i="10" s="1"/>
  <c r="N20" i="10" s="1"/>
  <c r="L12" i="12"/>
  <c r="J10" i="7"/>
  <c r="K10" i="7" s="1"/>
  <c r="L10" i="7" s="1"/>
  <c r="L7" i="12"/>
  <c r="J9" i="7"/>
  <c r="K9" i="7" s="1"/>
  <c r="L9" i="7" s="1"/>
  <c r="O10" i="7" s="1"/>
  <c r="K2" i="7"/>
  <c r="L2" i="7" s="1"/>
  <c r="F17" i="8"/>
  <c r="G17" i="8" s="1"/>
  <c r="H17" i="8" s="1"/>
  <c r="L7" i="10"/>
  <c r="M7" i="10" s="1"/>
  <c r="N7" i="10" s="1"/>
  <c r="L18" i="8"/>
  <c r="M18" i="8" s="1"/>
  <c r="N18" i="8" s="1"/>
  <c r="L3" i="12"/>
  <c r="L10" i="12"/>
  <c r="L18" i="12"/>
  <c r="L11" i="12"/>
  <c r="L19" i="12"/>
  <c r="L4" i="12"/>
  <c r="L5" i="12"/>
  <c r="L13" i="12"/>
  <c r="L21" i="12"/>
  <c r="L6" i="12"/>
  <c r="L14" i="12"/>
  <c r="L22" i="12"/>
  <c r="L8" i="12"/>
  <c r="L19" i="10"/>
  <c r="M19" i="10" s="1"/>
  <c r="N19" i="10" s="1"/>
  <c r="L16" i="12"/>
  <c r="J18" i="7"/>
  <c r="K18" i="7" s="1"/>
  <c r="L18" i="7" s="1"/>
  <c r="J16" i="7"/>
  <c r="K16" i="7" s="1"/>
  <c r="L16" i="7" s="1"/>
  <c r="L20" i="12"/>
  <c r="F9" i="10"/>
  <c r="G9" i="10" s="1"/>
  <c r="H9" i="10" s="1"/>
  <c r="J12" i="10" s="1"/>
  <c r="L9" i="10"/>
  <c r="M9" i="10" s="1"/>
  <c r="N9" i="10" s="1"/>
  <c r="Q12" i="10" s="1"/>
  <c r="D27" i="10"/>
  <c r="F6" i="10"/>
  <c r="L6" i="10"/>
  <c r="F15" i="10"/>
  <c r="G15" i="10" s="1"/>
  <c r="H15" i="10" s="1"/>
  <c r="F23" i="10"/>
  <c r="G23" i="10" s="1"/>
  <c r="H23" i="10" s="1"/>
  <c r="L16" i="10"/>
  <c r="M16" i="10" s="1"/>
  <c r="N16" i="10" s="1"/>
  <c r="F21" i="10"/>
  <c r="G21" i="10" s="1"/>
  <c r="H21" i="10" s="1"/>
  <c r="J23" i="10" s="1"/>
  <c r="F14" i="10"/>
  <c r="G14" i="10" s="1"/>
  <c r="H14" i="10" s="1"/>
  <c r="F22" i="10"/>
  <c r="G22" i="10" s="1"/>
  <c r="H22" i="10" s="1"/>
  <c r="J25" i="10" s="1"/>
  <c r="F24" i="10"/>
  <c r="G24" i="10" s="1"/>
  <c r="H24" i="10" s="1"/>
  <c r="J24" i="10" s="1"/>
  <c r="F13" i="10"/>
  <c r="G13" i="10" s="1"/>
  <c r="H13" i="10" s="1"/>
  <c r="L4" i="8"/>
  <c r="M4" i="8" s="1"/>
  <c r="N4" i="8" s="1"/>
  <c r="F4" i="8"/>
  <c r="G4" i="8" s="1"/>
  <c r="H4" i="8" s="1"/>
  <c r="F7" i="8"/>
  <c r="G7" i="8" s="1"/>
  <c r="H7" i="8" s="1"/>
  <c r="L14" i="8"/>
  <c r="M14" i="8" s="1"/>
  <c r="N14" i="8" s="1"/>
  <c r="Q20" i="8" s="1"/>
  <c r="F14" i="8"/>
  <c r="G14" i="8" s="1"/>
  <c r="H14" i="8" s="1"/>
  <c r="J20" i="8" s="1"/>
  <c r="L6" i="8"/>
  <c r="M6" i="8" s="1"/>
  <c r="N6" i="8" s="1"/>
  <c r="Q9" i="8" s="1"/>
  <c r="F6" i="8"/>
  <c r="G6" i="8" s="1"/>
  <c r="H6" i="8" s="1"/>
  <c r="Q21" i="8"/>
  <c r="F15" i="8"/>
  <c r="G15" i="8" s="1"/>
  <c r="H15" i="8" s="1"/>
  <c r="L3" i="8"/>
  <c r="F3" i="8"/>
  <c r="D24" i="8"/>
  <c r="F13" i="8"/>
  <c r="G13" i="8" s="1"/>
  <c r="H13" i="8" s="1"/>
  <c r="J22" i="8" s="1"/>
  <c r="F2" i="7"/>
  <c r="D23" i="7"/>
  <c r="D23" i="6"/>
  <c r="F2" i="6"/>
  <c r="Q25" i="10" l="1"/>
  <c r="J23" i="7"/>
  <c r="O4" i="7"/>
  <c r="J21" i="8"/>
  <c r="J14" i="10"/>
  <c r="J9" i="8"/>
  <c r="L27" i="10"/>
  <c r="M3" i="10" s="1"/>
  <c r="N3" i="10" s="1"/>
  <c r="M6" i="10"/>
  <c r="N6" i="10" s="1"/>
  <c r="Q8" i="10" s="1"/>
  <c r="G6" i="10"/>
  <c r="H6" i="10" s="1"/>
  <c r="J8" i="10" s="1"/>
  <c r="F27" i="10"/>
  <c r="G3" i="10" s="1"/>
  <c r="H3" i="10" s="1"/>
  <c r="L24" i="8"/>
  <c r="M3" i="8"/>
  <c r="N3" i="8" s="1"/>
  <c r="Q5" i="8" s="1"/>
  <c r="G3" i="8"/>
  <c r="H3" i="8" s="1"/>
  <c r="J5" i="8" s="1"/>
  <c r="F24" i="8"/>
  <c r="F23" i="7"/>
  <c r="G2" i="7"/>
  <c r="H2" i="7" s="1"/>
  <c r="G2" i="6"/>
  <c r="H2" i="6" s="1"/>
  <c r="F23" i="6"/>
  <c r="D73" i="2" l="1"/>
  <c r="D74" i="2" s="1"/>
  <c r="B5" i="2"/>
  <c r="C2" i="2"/>
  <c r="A39" i="1"/>
  <c r="B8" i="1"/>
</calcChain>
</file>

<file path=xl/sharedStrings.xml><?xml version="1.0" encoding="utf-8"?>
<sst xmlns="http://schemas.openxmlformats.org/spreadsheetml/2006/main" count="845" uniqueCount="160">
  <si>
    <t>Segment /Cell type</t>
  </si>
  <si>
    <t>Tubule Count</t>
  </si>
  <si>
    <t>S1 (45 percent of total)</t>
  </si>
  <si>
    <t>S2 (45 percent of total)</t>
  </si>
  <si>
    <t>S3</t>
  </si>
  <si>
    <t>tDL - type 1</t>
  </si>
  <si>
    <t>tDL - type 2</t>
  </si>
  <si>
    <t>tDL - type 3</t>
  </si>
  <si>
    <t>tAL</t>
  </si>
  <si>
    <t>MTAL</t>
  </si>
  <si>
    <t>CTAL</t>
  </si>
  <si>
    <t>DCT</t>
  </si>
  <si>
    <t>CNT Cell</t>
  </si>
  <si>
    <t>CNT A-IC</t>
  </si>
  <si>
    <t>CNT B-IC</t>
  </si>
  <si>
    <t>CCD PC</t>
  </si>
  <si>
    <t>CCD B-IC</t>
  </si>
  <si>
    <t>CCD A-IC</t>
  </si>
  <si>
    <t>OMCD - PC</t>
  </si>
  <si>
    <t>OMCD - A-IC</t>
  </si>
  <si>
    <t>OMCD - B-IC</t>
  </si>
  <si>
    <t>IMCD</t>
  </si>
  <si>
    <t>var</t>
  </si>
  <si>
    <t>Rat tubule counts (single kidney)</t>
  </si>
  <si>
    <t>Explanation</t>
  </si>
  <si>
    <t xml:space="preserve">Blurb 1 from Knepper et al. </t>
  </si>
  <si>
    <t>Value is same for S2 and S3 because proximal tubule is unbranched</t>
  </si>
  <si>
    <t>Number of short looped nephrons = 0.71 x 38000 = 26980 (percent long loop from Sperber)</t>
  </si>
  <si>
    <t>Number of long looped nephrons = 0.29 x 38000 =  11020</t>
  </si>
  <si>
    <t>Number of long looped nephrons = 0.29 x 38000 =  11021</t>
  </si>
  <si>
    <t>Number of long looped nephrons = 0.29 x 38000 =  11022</t>
  </si>
  <si>
    <t xml:space="preserve">Total nephrons in rat kidney. A variety of source give value around 38000 (Blurb 1). </t>
  </si>
  <si>
    <t>pmid     604620</t>
  </si>
  <si>
    <t>An average of 6 nephron converge to 1 collecting duct in arcade segment     pmid604620</t>
  </si>
  <si>
    <t>An average of 6 nephron converge to 1 collecting duct in arcade segment     pmid604621</t>
  </si>
  <si>
    <t>An average of 6 nephron converge to 1 collecting duct in arcade segment     pmid604622</t>
  </si>
  <si>
    <t>CCD and OMCD are unbranched</t>
  </si>
  <si>
    <t>IMCD shows reduced number toward papillary tip due to dichotomous convergemces. Calculated as total length in medulla (Blurb 2).</t>
  </si>
  <si>
    <t>Estimation of total length of IMCD</t>
  </si>
  <si>
    <t>mm IMCD</t>
  </si>
  <si>
    <t>Calculated using trapezoidal rule as below.    Total integrated value 10290 mm of IMCD</t>
  </si>
  <si>
    <t>Blurb 2  PMID 2532476</t>
  </si>
  <si>
    <t>Length per Tubule</t>
  </si>
  <si>
    <t xml:space="preserve">The inner medulla was found to be 4.7 mm in length (Knepper et al.      604620) </t>
  </si>
  <si>
    <t>The inner stripe of the outer medulla was found to be 1.5 mm in thickness (ibid)</t>
  </si>
  <si>
    <t>The outer stripe of the outer medulla was found to be 0.6 mm in thickness (ibid)</t>
  </si>
  <si>
    <t xml:space="preserve">The thickness of the cortex is 2.2 mm (Knepper et al.     12556362) </t>
  </si>
  <si>
    <t>Blurb 1 Thickness of zones of rat kidney</t>
  </si>
  <si>
    <t>Blurb 2 Sperber Tubule Lengths</t>
  </si>
  <si>
    <t>Thickness of inner stripe of outer medulla (Blurb 1)</t>
  </si>
  <si>
    <t>Used values from Sperber (Blurb 2) assuming first 45 percent of proximal tubule is S1</t>
  </si>
  <si>
    <t>Used values from Sperber (Blurb 2) assuming second 45 percent of proximal tubule is S2</t>
  </si>
  <si>
    <t xml:space="preserve">Used values from Sperber (Blurb 2) assuming last 10 percent (1 mm) is S3. </t>
  </si>
  <si>
    <t>tDL -type 2 2.0 mm (thickness of inner stripe of OM plus 0.5 mm of inner medulla)</t>
  </si>
  <si>
    <t>tDL - type 3 (varies with loop length, see treatment of loop lengths below)</t>
  </si>
  <si>
    <t>tAL (varies with loop length, see treatment of loop lengths below)</t>
  </si>
  <si>
    <t>variable</t>
  </si>
  <si>
    <t>Blurb 3  total length of tDL and tAL</t>
  </si>
  <si>
    <t>We use quantitative data reported in Mejia et al. (below).  To do this we apply the trapezoidal rule with 5 1mm spatial chops.</t>
  </si>
  <si>
    <t xml:space="preserve"> </t>
  </si>
  <si>
    <t>Length of tAL = 220+1200+2400+6000+10200 = 20020</t>
  </si>
  <si>
    <t>Length of type 3 tDL = 20020-0.5*11020</t>
  </si>
  <si>
    <t>based on thickness of inner stripe of outer medulla (blurb 1)</t>
  </si>
  <si>
    <t>half of cortical thickness plus thickness of outer stripe of outer medulla (blurb 1).   Note the MTAL CTAL transition occurs at inner outer stripe boundary based on Knepper isolated perfused tubule studies.</t>
  </si>
  <si>
    <t>Based on Sperber (Blurb 2)</t>
  </si>
  <si>
    <t>Total CNT length includes full arcade structure consisting of 6 tributaries (0.5 mm each) and one central segment (1.2 mm). Based on observations from microdissections in rats</t>
  </si>
  <si>
    <t>CCDs span virtually the entire width of the cortex (blurb 1)</t>
  </si>
  <si>
    <t>OMCDs span virtually the entire thickness of the outer medulla (Blurb 1)</t>
  </si>
  <si>
    <t>180+770+1040+3000+5300</t>
  </si>
  <si>
    <t>Blurb 4. Estimation of total length of IMCD using Knepper Mejia data and trapezoidal rule</t>
  </si>
  <si>
    <t>See blurb 4</t>
  </si>
  <si>
    <t>tDL - type 3 (varies with loop length, see treatment of loop lengths Blurb 3)</t>
  </si>
  <si>
    <t>tAL (varies with loop length, see treatment of loop lengths Blurb 3)</t>
  </si>
  <si>
    <t>Total Length per Kidney (mm)</t>
  </si>
  <si>
    <t>Length per Tubule (mm)</t>
  </si>
  <si>
    <t>Density (cells/mm)</t>
  </si>
  <si>
    <t>Blurb 5 cell counts per unit length from Garg et al. PMID     6264796</t>
  </si>
  <si>
    <t>Blurb 6.  Cell counts in microdissected CCDs  Lee et al  PMID 28843412</t>
  </si>
  <si>
    <t>Blurb 7.   Cell counts in collecting ducts</t>
  </si>
  <si>
    <t>Alper SL, Natale J, Gluck S, Lodish HF, Brown D. Subtypes of intercalated</t>
  </si>
  <si>
    <t xml:space="preserve">cells in rat kidney collecting duct defined by antibodies against erythroid band </t>
  </si>
  <si>
    <t>3 and renal vacuolar H+-ATPase. Proc Natl Acad Sci U S A. 1989</t>
  </si>
  <si>
    <t>Jul;86(14):5429-33. PubMed PMID: 2526338; PubMed Central PMCID: PMC297636.</t>
  </si>
  <si>
    <t>Blurb 5 Garg et al. nuclear counting</t>
  </si>
  <si>
    <t xml:space="preserve">CNT Cell 0.6 x 438 from Garg et al. </t>
  </si>
  <si>
    <t>CNT A-IC 0.1 x 438</t>
  </si>
  <si>
    <t>CNT B-IC 0.3 x 438</t>
  </si>
  <si>
    <t>CCD PC (from Chou in Ecelbarger paper)</t>
  </si>
  <si>
    <t>CCD B-IC (from Chou in Ecelbarger paper)</t>
  </si>
  <si>
    <t>CCD A-IC (from Chou in Ecelbarger paper)</t>
  </si>
  <si>
    <t>OMCD - PC  0.6 x 504 from Garg et al.</t>
  </si>
  <si>
    <t xml:space="preserve">OMCD - A-IC 500X0.4x0.94  from Alper/Brown </t>
  </si>
  <si>
    <t xml:space="preserve">OMCD - B-IC 500X0.4x0.06  from Alper/Brown </t>
  </si>
  <si>
    <t>CNT Cell 0.6 x 438 from Garg et al. (Blurb 5) plus personal communication D. Brown</t>
  </si>
  <si>
    <t>CNT A-IC 0.1 x 438  from Garg et al. (Blurb 5) plus personal communication D. Brown</t>
  </si>
  <si>
    <t>CNT B-IC 0.3 x 438 from Garg et al. (Blurb 5) plus personal communication D. Brown</t>
  </si>
  <si>
    <t>Blurb 6 Lee et al</t>
  </si>
  <si>
    <t>OMCD - A-IC 500X0.4x0.94  from Alper/Brown blurb 7</t>
  </si>
  <si>
    <t>OMCD - B-IC 500X0.4x0.06  from Alper/Brown blurb 7</t>
  </si>
  <si>
    <t>extrapolated from Garg et al. Blurb 5</t>
  </si>
  <si>
    <t>estimated from images reviewed in     7018270 …</t>
  </si>
  <si>
    <t>Total Cells per Kidney</t>
  </si>
  <si>
    <t xml:space="preserve">total </t>
  </si>
  <si>
    <t>Fraction of Total Cells</t>
  </si>
  <si>
    <t>Percent of Total Cells</t>
  </si>
  <si>
    <t>All PT</t>
  </si>
  <si>
    <t>All thin limb</t>
  </si>
  <si>
    <t>All thick limb</t>
  </si>
  <si>
    <t>All DCT</t>
  </si>
  <si>
    <t>All A-IC</t>
  </si>
  <si>
    <t>All B-IC</t>
  </si>
  <si>
    <t>All AQP2 cells</t>
  </si>
  <si>
    <t>Protein mass, ng/mm</t>
  </si>
  <si>
    <t xml:space="preserve">Blurb 8.  Protein content of tubule segments from Vandewalle et al PMID   7246739 </t>
  </si>
  <si>
    <t>From Blurb 8 Vandewalle et al.</t>
  </si>
  <si>
    <t>From Blurb 8 Vandewalle et al. apportioned to individual cell types</t>
  </si>
  <si>
    <t>Extrapolated From Blurb 8 Vandewalle et al.</t>
  </si>
  <si>
    <t>Total protein, ng</t>
  </si>
  <si>
    <t>Fraction of total protein mass</t>
  </si>
  <si>
    <t>Percent of total protein mass</t>
  </si>
  <si>
    <t>S1 Proximal</t>
  </si>
  <si>
    <t>S2 Proximal</t>
  </si>
  <si>
    <t>S3 Proximal</t>
  </si>
  <si>
    <t>All AQP2 Cell</t>
  </si>
  <si>
    <t>Glomerular morphometrics from Wiggins</t>
  </si>
  <si>
    <t>Nishizono R, Kikuchi M, Wang SQ, Chowdhury M, Nair V, Hartman J, Fukuda A,</t>
  </si>
  <si>
    <t>Wickman L, Hodgin JB, Bitzer M, Naik A, Wiggins J, Kretzler M, Wiggins RC. FSGS</t>
  </si>
  <si>
    <t>as an Adaptive Response to Growth-Induced Podocyte Stress. J Am Soc Nephrol. 2017</t>
  </si>
  <si>
    <t>Jul 18. pii: ASN.2017020174. doi: 10.1681/ASN.2017020174. [Epub ahead of print]</t>
  </si>
  <si>
    <t>PubMed PMID: 28720684.</t>
  </si>
  <si>
    <t>radius of a podocyte if a sphere in microns</t>
  </si>
  <si>
    <t>volume of a podocyte in microns cubed</t>
  </si>
  <si>
    <t>proximal tubule cell height in microns</t>
  </si>
  <si>
    <t>proximal tubule cross sectional area assuming OD 46  ID 26 in microns squared</t>
  </si>
  <si>
    <t xml:space="preserve">proximal tubule volume cell  microns cubed </t>
  </si>
  <si>
    <t>proximal tubule cell mass pg/cell</t>
  </si>
  <si>
    <t>estimated podocyte mass per cell pg/cell</t>
  </si>
  <si>
    <t>value</t>
  </si>
  <si>
    <t>podocytes</t>
  </si>
  <si>
    <t>fraction of total epithelial cells</t>
  </si>
  <si>
    <t>podocytes per glomerulus</t>
  </si>
  <si>
    <t>podocytes per kidney</t>
  </si>
  <si>
    <t>percent of total epithelial cells</t>
  </si>
  <si>
    <t>protein mass per podocyte, pg</t>
  </si>
  <si>
    <t>Total protein mass of podocytes per kidney, ng</t>
  </si>
  <si>
    <t>Podocyte fraction of total epithelial cell protein mass</t>
  </si>
  <si>
    <t>Podocyte percent of total epithelial cell protein mass</t>
  </si>
  <si>
    <t>Total Cells per Kidney (milllions)</t>
  </si>
  <si>
    <r>
      <t>Total Protein Mass,</t>
    </r>
    <r>
      <rPr>
        <sz val="11"/>
        <color theme="1"/>
        <rFont val="Symbol"/>
        <family val="1"/>
        <charset val="2"/>
      </rPr>
      <t xml:space="preserve"> m</t>
    </r>
    <r>
      <rPr>
        <sz val="11"/>
        <color theme="1"/>
        <rFont val="Calibri"/>
        <family val="2"/>
        <scheme val="minor"/>
      </rPr>
      <t>g</t>
    </r>
  </si>
  <si>
    <t>Percent of Total Protein Mass</t>
  </si>
  <si>
    <t>Rat</t>
  </si>
  <si>
    <t>Mouse</t>
  </si>
  <si>
    <t>SUM</t>
  </si>
  <si>
    <r>
      <t>Total Protein Mass (</t>
    </r>
    <r>
      <rPr>
        <b/>
        <sz val="10"/>
        <color theme="1"/>
        <rFont val="Symbol"/>
        <family val="1"/>
        <charset val="2"/>
      </rPr>
      <t>m</t>
    </r>
    <r>
      <rPr>
        <b/>
        <sz val="10"/>
        <color theme="1"/>
        <rFont val="Calibri"/>
        <family val="2"/>
        <scheme val="minor"/>
      </rPr>
      <t>g)</t>
    </r>
  </si>
  <si>
    <t>This spreadsheet provides a step by step accounting of the quantitative anatomy of the rat kidney.  To review the calculations click through the tabs in sequence.  Each tab adds a new type of information.  Literature sources of the information are given at the bottom of each tab.</t>
  </si>
  <si>
    <t xml:space="preserve">Publication:  Clark et al. </t>
  </si>
  <si>
    <t>(Note: similar calculations for mouse are summarized in a single tab at the end of this spreadsheet.)</t>
  </si>
  <si>
    <t>Full Rat Calculations</t>
  </si>
  <si>
    <t>Contact us with questions or comments: jevin.clark@nih.gov</t>
  </si>
  <si>
    <t>Rat and Mouse Cell Counts Calculations and Sources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</si>
</sst>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0"/>
  </numFmts>
  <fonts count="9" x14ac:knownFonts="1">
    <font>
      <sz val="11"/>
      <color theme="1"/>
      <name val="Calibri"/>
      <family val="2"/>
      <scheme val="minor"/>
    </font>
    <font>
      <b/>
      <sz val="11"/>
      <color rgb="FFFF0000"/>
      <name val="Calibri"/>
      <family val="2"/>
      <scheme val="minor"/>
    </font>
    <font>
      <sz val="10"/>
      <color theme="1"/>
      <name val="Courier New"/>
      <family val="3"/>
    </font>
    <font>
      <sz val="11"/>
      <color theme="1"/>
      <name val="Symbol"/>
      <family val="1"/>
      <charset val="2"/>
    </font>
    <font>
      <sz val="10"/>
      <color theme="1"/>
      <name val="Calibri"/>
      <family val="2"/>
      <scheme val="minor"/>
    </font>
    <font>
      <b/>
      <sz val="10"/>
      <color theme="1"/>
      <name val="Calibri"/>
      <family val="2"/>
      <scheme val="minor"/>
    </font>
    <font>
      <b/>
      <sz val="10"/>
      <color theme="1"/>
      <name val="Symbol"/>
      <family val="1"/>
      <charset val="2"/>
    </font>
    <font>
      <b/>
      <sz val="11"/>
      <color theme="1"/>
      <name val="Calibri"/>
      <family val="2"/>
      <scheme val="minor"/>
    </font>
    <font>
      <b/>
      <sz val="15"/>
      <color rgb="FF123A72"/>
      <name val="Arial"/>
      <family val="2"/>
    </font>
  </fonts>
  <fills count="2">
    <fill>
      <patternFill patternType="none"/>
    </fill>
    <fill>
      <patternFill patternType="gray125"/>
    </fill>
  </fills>
  <borders count="4">
    <border>
      <left/>
      <right/>
      <top/>
      <bottom/>
      <diagonal/>
    </border>
    <border>
      <left/>
      <right/>
      <top/>
      <bottom style="double">
        <color indexed="64"/>
      </bottom>
      <diagonal/>
    </border>
    <border>
      <left/>
      <right/>
      <top style="double">
        <color indexed="64"/>
      </top>
      <bottom style="thin">
        <color indexed="64"/>
      </bottom>
      <diagonal/>
    </border>
    <border>
      <left/>
      <right/>
      <top/>
      <bottom style="thin">
        <color indexed="64"/>
      </bottom>
      <diagonal/>
    </border>
  </borders>
  <cellStyleXfs count="1">
    <xf numFmtId="0" fontId="0" fillId="0" borderId="0"/>
  </cellStyleXfs>
  <cellXfs count="35">
    <xf numFmtId="0" fontId="0" fillId="0" borderId="0" xfId="0"/>
    <xf numFmtId="0" fontId="0" fillId="0" borderId="0" xfId="0" applyAlignment="1">
      <alignment horizontal="center" vertical="center" wrapText="1"/>
    </xf>
    <xf numFmtId="0" fontId="1" fillId="0" borderId="0" xfId="0" applyFont="1"/>
    <xf numFmtId="1" fontId="0" fillId="0" borderId="0" xfId="0" applyNumberFormat="1"/>
    <xf numFmtId="0" fontId="2" fillId="0" borderId="0" xfId="0" applyFont="1" applyAlignment="1"/>
    <xf numFmtId="0" fontId="0" fillId="0" borderId="0" xfId="0" applyAlignment="1">
      <alignment horizontal="center" vertical="center"/>
    </xf>
    <xf numFmtId="1" fontId="0" fillId="0" borderId="0" xfId="0" applyNumberFormat="1" applyAlignment="1">
      <alignment horizontal="center" vertical="center" wrapText="1"/>
    </xf>
    <xf numFmtId="1" fontId="0" fillId="0" borderId="0" xfId="0" applyNumberFormat="1" applyAlignment="1">
      <alignment horizontal="center" vertical="center"/>
    </xf>
    <xf numFmtId="2" fontId="0" fillId="0" borderId="0" xfId="0" applyNumberFormat="1"/>
    <xf numFmtId="2" fontId="0" fillId="0" borderId="0" xfId="0" applyNumberFormat="1" applyAlignment="1">
      <alignment horizontal="center" vertical="center" wrapText="1"/>
    </xf>
    <xf numFmtId="164" fontId="0" fillId="0" borderId="0" xfId="0" applyNumberFormat="1" applyAlignment="1">
      <alignment horizontal="center" vertical="center"/>
    </xf>
    <xf numFmtId="0" fontId="0" fillId="0" borderId="0" xfId="0" applyNumberFormat="1" applyAlignment="1">
      <alignment horizontal="left" vertical="center"/>
    </xf>
    <xf numFmtId="0" fontId="0" fillId="0" borderId="0" xfId="0" applyAlignment="1">
      <alignment horizontal="left" vertical="center"/>
    </xf>
    <xf numFmtId="0" fontId="1" fillId="0" borderId="0" xfId="0" applyFont="1" applyAlignment="1">
      <alignment horizontal="left" vertical="center"/>
    </xf>
    <xf numFmtId="164" fontId="0" fillId="0" borderId="0" xfId="0" applyNumberFormat="1" applyAlignment="1">
      <alignment horizontal="center" vertical="center" wrapText="1"/>
    </xf>
    <xf numFmtId="165" fontId="0" fillId="0" borderId="0" xfId="0" applyNumberFormat="1" applyAlignment="1">
      <alignment horizontal="center" vertical="center" wrapText="1"/>
    </xf>
    <xf numFmtId="2" fontId="0" fillId="0" borderId="0" xfId="0" applyNumberFormat="1" applyAlignment="1">
      <alignment horizontal="center" vertical="center"/>
    </xf>
    <xf numFmtId="1" fontId="4" fillId="0" borderId="0" xfId="0" applyNumberFormat="1" applyFont="1" applyAlignment="1">
      <alignment horizontal="center" vertical="center" wrapText="1"/>
    </xf>
    <xf numFmtId="0" fontId="4" fillId="0" borderId="0" xfId="0" applyFont="1"/>
    <xf numFmtId="2" fontId="4" fillId="0" borderId="0" xfId="0" applyNumberFormat="1" applyFont="1" applyAlignment="1">
      <alignment horizontal="center" vertical="center"/>
    </xf>
    <xf numFmtId="0" fontId="4" fillId="0" borderId="0" xfId="0" applyFont="1" applyAlignment="1">
      <alignment horizontal="center" vertical="center" wrapText="1"/>
    </xf>
    <xf numFmtId="1" fontId="4" fillId="0" borderId="2" xfId="0" applyNumberFormat="1" applyFont="1" applyBorder="1" applyAlignment="1">
      <alignment horizontal="center" vertical="center" wrapText="1"/>
    </xf>
    <xf numFmtId="2" fontId="4" fillId="0" borderId="0" xfId="0" quotePrefix="1" applyNumberFormat="1" applyFont="1" applyAlignment="1">
      <alignment horizontal="center" vertical="center"/>
    </xf>
    <xf numFmtId="2" fontId="4" fillId="0" borderId="3" xfId="0" applyNumberFormat="1" applyFont="1" applyBorder="1" applyAlignment="1">
      <alignment horizontal="center" vertical="center"/>
    </xf>
    <xf numFmtId="1" fontId="4" fillId="0" borderId="3" xfId="0" applyNumberFormat="1" applyFont="1" applyBorder="1" applyAlignment="1">
      <alignment horizontal="center" vertical="center" wrapText="1"/>
    </xf>
    <xf numFmtId="0" fontId="4" fillId="0" borderId="0" xfId="0" applyFont="1" applyAlignment="1">
      <alignment horizontal="center" vertical="center"/>
    </xf>
    <xf numFmtId="0" fontId="4" fillId="0" borderId="0" xfId="0" applyFont="1" applyBorder="1" applyAlignment="1">
      <alignment horizontal="center" vertical="center"/>
    </xf>
    <xf numFmtId="0" fontId="4" fillId="0" borderId="3" xfId="0" applyFont="1" applyBorder="1" applyAlignment="1">
      <alignment horizontal="center" vertical="center"/>
    </xf>
    <xf numFmtId="0" fontId="5" fillId="0" borderId="0" xfId="0" applyFont="1" applyAlignment="1">
      <alignment horizontal="center" vertical="center" wrapText="1"/>
    </xf>
    <xf numFmtId="0" fontId="0" fillId="0" borderId="0" xfId="0" applyAlignment="1">
      <alignment horizontal="left" vertical="top" wrapText="1"/>
    </xf>
    <xf numFmtId="1" fontId="7" fillId="0" borderId="0" xfId="0" applyNumberFormat="1" applyFont="1" applyAlignment="1">
      <alignment horizontal="left" vertical="center"/>
    </xf>
    <xf numFmtId="1" fontId="5" fillId="0" borderId="1" xfId="0" applyNumberFormat="1" applyFont="1" applyBorder="1" applyAlignment="1">
      <alignment horizontal="center" vertical="center" wrapText="1"/>
    </xf>
    <xf numFmtId="2" fontId="5" fillId="0" borderId="1" xfId="0" applyNumberFormat="1" applyFont="1" applyBorder="1" applyAlignment="1">
      <alignment horizontal="center" vertical="center" wrapText="1"/>
    </xf>
    <xf numFmtId="0" fontId="8" fillId="0" borderId="0" xfId="0" applyFont="1" applyAlignment="1">
      <alignment horizontal="center" vertical="center"/>
    </xf>
    <xf numFmtId="0" fontId="0" fillId="0" borderId="0" xfId="0" applyFill="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5.png"/><Relationship Id="rId7" Type="http://schemas.openxmlformats.org/officeDocument/2006/relationships/image" Target="../media/image8.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image" Target="../media/image5.png"/><Relationship Id="rId7" Type="http://schemas.openxmlformats.org/officeDocument/2006/relationships/image" Target="../media/image8.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image" Target="../media/image5.png"/><Relationship Id="rId7" Type="http://schemas.openxmlformats.org/officeDocument/2006/relationships/image" Target="../media/image8.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2.png"/></Relationships>
</file>

<file path=xl/drawings/_rels/drawing6.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5.png"/><Relationship Id="rId7" Type="http://schemas.openxmlformats.org/officeDocument/2006/relationships/image" Target="../media/image8.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2.png"/></Relationships>
</file>

<file path=xl/drawings/_rels/drawing7.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5.png"/><Relationship Id="rId7" Type="http://schemas.openxmlformats.org/officeDocument/2006/relationships/image" Target="../media/image8.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2.png"/></Relationships>
</file>

<file path=xl/drawings/_rels/drawing8.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5.png"/><Relationship Id="rId7" Type="http://schemas.openxmlformats.org/officeDocument/2006/relationships/image" Target="../media/image8.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28</xdr:row>
      <xdr:rowOff>0</xdr:rowOff>
    </xdr:from>
    <xdr:to>
      <xdr:col>2</xdr:col>
      <xdr:colOff>2502701</xdr:colOff>
      <xdr:row>35</xdr:row>
      <xdr:rowOff>37929</xdr:rowOff>
    </xdr:to>
    <xdr:pic>
      <xdr:nvPicPr>
        <xdr:cNvPr id="2" name="Picture 1">
          <a:extLst>
            <a:ext uri="{FF2B5EF4-FFF2-40B4-BE49-F238E27FC236}">
              <a16:creationId xmlns:a16="http://schemas.microsoft.com/office/drawing/2014/main" id="{F54B332D-9D5B-4C46-8C83-F90049EDBF6E}"/>
            </a:ext>
          </a:extLst>
        </xdr:cNvPr>
        <xdr:cNvPicPr>
          <a:picLocks noChangeAspect="1"/>
        </xdr:cNvPicPr>
      </xdr:nvPicPr>
      <xdr:blipFill>
        <a:blip xmlns:r="http://schemas.openxmlformats.org/officeDocument/2006/relationships" r:embed="rId1"/>
        <a:stretch>
          <a:fillRect/>
        </a:stretch>
      </xdr:blipFill>
      <xdr:spPr>
        <a:xfrm>
          <a:off x="2087880" y="5303520"/>
          <a:ext cx="3752381" cy="1318089"/>
        </a:xfrm>
        <a:prstGeom prst="rect">
          <a:avLst/>
        </a:prstGeom>
      </xdr:spPr>
    </xdr:pic>
    <xdr:clientData/>
  </xdr:twoCellAnchor>
  <xdr:twoCellAnchor editAs="oneCell">
    <xdr:from>
      <xdr:col>1</xdr:col>
      <xdr:colOff>0</xdr:colOff>
      <xdr:row>40</xdr:row>
      <xdr:rowOff>0</xdr:rowOff>
    </xdr:from>
    <xdr:to>
      <xdr:col>8</xdr:col>
      <xdr:colOff>509438</xdr:colOff>
      <xdr:row>65</xdr:row>
      <xdr:rowOff>182261</xdr:rowOff>
    </xdr:to>
    <xdr:pic>
      <xdr:nvPicPr>
        <xdr:cNvPr id="3" name="Picture 2">
          <a:extLst>
            <a:ext uri="{FF2B5EF4-FFF2-40B4-BE49-F238E27FC236}">
              <a16:creationId xmlns:a16="http://schemas.microsoft.com/office/drawing/2014/main" id="{0C04EC44-E660-4EFE-A42C-A53C5A67DC44}"/>
            </a:ext>
          </a:extLst>
        </xdr:cNvPr>
        <xdr:cNvPicPr>
          <a:picLocks noChangeAspect="1"/>
        </xdr:cNvPicPr>
      </xdr:nvPicPr>
      <xdr:blipFill>
        <a:blip xmlns:r="http://schemas.openxmlformats.org/officeDocument/2006/relationships" r:embed="rId2"/>
        <a:stretch>
          <a:fillRect/>
        </a:stretch>
      </xdr:blipFill>
      <xdr:spPr>
        <a:xfrm>
          <a:off x="2087880" y="7498080"/>
          <a:ext cx="9051458" cy="475426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35</xdr:row>
      <xdr:rowOff>0</xdr:rowOff>
    </xdr:from>
    <xdr:to>
      <xdr:col>8</xdr:col>
      <xdr:colOff>252333</xdr:colOff>
      <xdr:row>62</xdr:row>
      <xdr:rowOff>161262</xdr:rowOff>
    </xdr:to>
    <xdr:pic>
      <xdr:nvPicPr>
        <xdr:cNvPr id="2" name="Picture 1">
          <a:extLst>
            <a:ext uri="{FF2B5EF4-FFF2-40B4-BE49-F238E27FC236}">
              <a16:creationId xmlns:a16="http://schemas.microsoft.com/office/drawing/2014/main" id="{DFB41104-29E3-4203-8926-F72EFD338ABA}"/>
            </a:ext>
          </a:extLst>
        </xdr:cNvPr>
        <xdr:cNvPicPr>
          <a:picLocks noChangeAspect="1"/>
        </xdr:cNvPicPr>
      </xdr:nvPicPr>
      <xdr:blipFill>
        <a:blip xmlns:r="http://schemas.openxmlformats.org/officeDocument/2006/relationships" r:embed="rId1"/>
        <a:stretch>
          <a:fillRect/>
        </a:stretch>
      </xdr:blipFill>
      <xdr:spPr>
        <a:xfrm>
          <a:off x="0" y="6949440"/>
          <a:ext cx="8489553" cy="5099022"/>
        </a:xfrm>
        <a:prstGeom prst="rect">
          <a:avLst/>
        </a:prstGeom>
      </xdr:spPr>
    </xdr:pic>
    <xdr:clientData/>
  </xdr:twoCellAnchor>
  <xdr:twoCellAnchor editAs="oneCell">
    <xdr:from>
      <xdr:col>0</xdr:col>
      <xdr:colOff>0</xdr:colOff>
      <xdr:row>63</xdr:row>
      <xdr:rowOff>0</xdr:rowOff>
    </xdr:from>
    <xdr:to>
      <xdr:col>8</xdr:col>
      <xdr:colOff>242809</xdr:colOff>
      <xdr:row>71</xdr:row>
      <xdr:rowOff>56952</xdr:rowOff>
    </xdr:to>
    <xdr:pic>
      <xdr:nvPicPr>
        <xdr:cNvPr id="3" name="Picture 2">
          <a:extLst>
            <a:ext uri="{FF2B5EF4-FFF2-40B4-BE49-F238E27FC236}">
              <a16:creationId xmlns:a16="http://schemas.microsoft.com/office/drawing/2014/main" id="{3FBC24ED-6F77-4F18-AE4C-30B66A9F11D0}"/>
            </a:ext>
          </a:extLst>
        </xdr:cNvPr>
        <xdr:cNvPicPr>
          <a:picLocks noChangeAspect="1"/>
        </xdr:cNvPicPr>
      </xdr:nvPicPr>
      <xdr:blipFill>
        <a:blip xmlns:r="http://schemas.openxmlformats.org/officeDocument/2006/relationships" r:embed="rId2"/>
        <a:stretch>
          <a:fillRect/>
        </a:stretch>
      </xdr:blipFill>
      <xdr:spPr>
        <a:xfrm>
          <a:off x="0" y="12070080"/>
          <a:ext cx="8480029" cy="1519992"/>
        </a:xfrm>
        <a:prstGeom prst="rect">
          <a:avLst/>
        </a:prstGeom>
      </xdr:spPr>
    </xdr:pic>
    <xdr:clientData/>
  </xdr:twoCellAnchor>
  <xdr:twoCellAnchor editAs="oneCell">
    <xdr:from>
      <xdr:col>0</xdr:col>
      <xdr:colOff>0</xdr:colOff>
      <xdr:row>79</xdr:row>
      <xdr:rowOff>0</xdr:rowOff>
    </xdr:from>
    <xdr:to>
      <xdr:col>9</xdr:col>
      <xdr:colOff>547495</xdr:colOff>
      <xdr:row>106</xdr:row>
      <xdr:rowOff>27929</xdr:rowOff>
    </xdr:to>
    <xdr:pic>
      <xdr:nvPicPr>
        <xdr:cNvPr id="4" name="Picture 3">
          <a:extLst>
            <a:ext uri="{FF2B5EF4-FFF2-40B4-BE49-F238E27FC236}">
              <a16:creationId xmlns:a16="http://schemas.microsoft.com/office/drawing/2014/main" id="{5845B859-5506-4DBF-BE0E-B4C5B4DD5299}"/>
            </a:ext>
          </a:extLst>
        </xdr:cNvPr>
        <xdr:cNvPicPr>
          <a:picLocks noChangeAspect="1"/>
        </xdr:cNvPicPr>
      </xdr:nvPicPr>
      <xdr:blipFill>
        <a:blip xmlns:r="http://schemas.openxmlformats.org/officeDocument/2006/relationships" r:embed="rId3"/>
        <a:stretch>
          <a:fillRect/>
        </a:stretch>
      </xdr:blipFill>
      <xdr:spPr>
        <a:xfrm>
          <a:off x="0" y="14996160"/>
          <a:ext cx="9394315" cy="4965689"/>
        </a:xfrm>
        <a:prstGeom prst="rect">
          <a:avLst/>
        </a:prstGeom>
      </xdr:spPr>
    </xdr:pic>
    <xdr:clientData/>
  </xdr:twoCellAnchor>
  <xdr:twoCellAnchor editAs="oneCell">
    <xdr:from>
      <xdr:col>0</xdr:col>
      <xdr:colOff>0</xdr:colOff>
      <xdr:row>111</xdr:row>
      <xdr:rowOff>0</xdr:rowOff>
    </xdr:from>
    <xdr:to>
      <xdr:col>9</xdr:col>
      <xdr:colOff>204638</xdr:colOff>
      <xdr:row>136</xdr:row>
      <xdr:rowOff>182261</xdr:rowOff>
    </xdr:to>
    <xdr:pic>
      <xdr:nvPicPr>
        <xdr:cNvPr id="5" name="Picture 4">
          <a:extLst>
            <a:ext uri="{FF2B5EF4-FFF2-40B4-BE49-F238E27FC236}">
              <a16:creationId xmlns:a16="http://schemas.microsoft.com/office/drawing/2014/main" id="{E9F41221-17B5-4C75-A17E-82B007B1604E}"/>
            </a:ext>
          </a:extLst>
        </xdr:cNvPr>
        <xdr:cNvPicPr>
          <a:picLocks noChangeAspect="1"/>
        </xdr:cNvPicPr>
      </xdr:nvPicPr>
      <xdr:blipFill>
        <a:blip xmlns:r="http://schemas.openxmlformats.org/officeDocument/2006/relationships" r:embed="rId4"/>
        <a:stretch>
          <a:fillRect/>
        </a:stretch>
      </xdr:blipFill>
      <xdr:spPr>
        <a:xfrm>
          <a:off x="0" y="20848320"/>
          <a:ext cx="9051458" cy="4754261"/>
        </a:xfrm>
        <a:prstGeom prst="rect">
          <a:avLst/>
        </a:prstGeom>
      </xdr:spPr>
    </xdr:pic>
    <xdr:clientData/>
  </xdr:twoCellAnchor>
  <xdr:twoCellAnchor editAs="oneCell">
    <xdr:from>
      <xdr:col>0</xdr:col>
      <xdr:colOff>0</xdr:colOff>
      <xdr:row>141</xdr:row>
      <xdr:rowOff>0</xdr:rowOff>
    </xdr:from>
    <xdr:to>
      <xdr:col>4</xdr:col>
      <xdr:colOff>248994</xdr:colOff>
      <xdr:row>155</xdr:row>
      <xdr:rowOff>161571</xdr:rowOff>
    </xdr:to>
    <xdr:pic>
      <xdr:nvPicPr>
        <xdr:cNvPr id="6" name="Picture 5">
          <a:extLst>
            <a:ext uri="{FF2B5EF4-FFF2-40B4-BE49-F238E27FC236}">
              <a16:creationId xmlns:a16="http://schemas.microsoft.com/office/drawing/2014/main" id="{1449E5A1-5671-45F8-891D-FC507E55122D}"/>
            </a:ext>
          </a:extLst>
        </xdr:cNvPr>
        <xdr:cNvPicPr>
          <a:picLocks noChangeAspect="1"/>
        </xdr:cNvPicPr>
      </xdr:nvPicPr>
      <xdr:blipFill>
        <a:blip xmlns:r="http://schemas.openxmlformats.org/officeDocument/2006/relationships" r:embed="rId5"/>
        <a:stretch>
          <a:fillRect/>
        </a:stretch>
      </xdr:blipFill>
      <xdr:spPr>
        <a:xfrm>
          <a:off x="0" y="26334720"/>
          <a:ext cx="4485714" cy="2721891"/>
        </a:xfrm>
        <a:prstGeom prst="rect">
          <a:avLst/>
        </a:prstGeom>
      </xdr:spPr>
    </xdr:pic>
    <xdr:clientData/>
  </xdr:twoCellAnchor>
  <xdr:twoCellAnchor editAs="oneCell">
    <xdr:from>
      <xdr:col>0</xdr:col>
      <xdr:colOff>0</xdr:colOff>
      <xdr:row>159</xdr:row>
      <xdr:rowOff>0</xdr:rowOff>
    </xdr:from>
    <xdr:to>
      <xdr:col>10</xdr:col>
      <xdr:colOff>271228</xdr:colOff>
      <xdr:row>190</xdr:row>
      <xdr:rowOff>84976</xdr:rowOff>
    </xdr:to>
    <xdr:pic>
      <xdr:nvPicPr>
        <xdr:cNvPr id="7" name="Picture 6">
          <a:extLst>
            <a:ext uri="{FF2B5EF4-FFF2-40B4-BE49-F238E27FC236}">
              <a16:creationId xmlns:a16="http://schemas.microsoft.com/office/drawing/2014/main" id="{C9947031-2919-4347-AE1D-B6F0693A1B59}"/>
            </a:ext>
          </a:extLst>
        </xdr:cNvPr>
        <xdr:cNvPicPr>
          <a:picLocks noChangeAspect="1"/>
        </xdr:cNvPicPr>
      </xdr:nvPicPr>
      <xdr:blipFill>
        <a:blip xmlns:r="http://schemas.openxmlformats.org/officeDocument/2006/relationships" r:embed="rId6"/>
        <a:stretch>
          <a:fillRect/>
        </a:stretch>
      </xdr:blipFill>
      <xdr:spPr>
        <a:xfrm>
          <a:off x="0" y="29626560"/>
          <a:ext cx="9727648" cy="5754256"/>
        </a:xfrm>
        <a:prstGeom prst="rect">
          <a:avLst/>
        </a:prstGeom>
      </xdr:spPr>
    </xdr:pic>
    <xdr:clientData/>
  </xdr:twoCellAnchor>
  <xdr:twoCellAnchor editAs="oneCell">
    <xdr:from>
      <xdr:col>0</xdr:col>
      <xdr:colOff>0</xdr:colOff>
      <xdr:row>200</xdr:row>
      <xdr:rowOff>0</xdr:rowOff>
    </xdr:from>
    <xdr:to>
      <xdr:col>5</xdr:col>
      <xdr:colOff>434340</xdr:colOff>
      <xdr:row>222</xdr:row>
      <xdr:rowOff>104775</xdr:rowOff>
    </xdr:to>
    <xdr:pic>
      <xdr:nvPicPr>
        <xdr:cNvPr id="8" name="Picture 7">
          <a:extLst>
            <a:ext uri="{FF2B5EF4-FFF2-40B4-BE49-F238E27FC236}">
              <a16:creationId xmlns:a16="http://schemas.microsoft.com/office/drawing/2014/main" id="{C3F6DB70-C43D-4044-9DB6-01204A8A104A}"/>
            </a:ext>
          </a:extLst>
        </xdr:cNvPr>
        <xdr:cNvPicPr>
          <a:picLocks noChangeAspect="1"/>
        </xdr:cNvPicPr>
      </xdr:nvPicPr>
      <xdr:blipFill>
        <a:blip xmlns:r="http://schemas.openxmlformats.org/officeDocument/2006/relationships" r:embed="rId7"/>
        <a:stretch>
          <a:fillRect/>
        </a:stretch>
      </xdr:blipFill>
      <xdr:spPr>
        <a:xfrm>
          <a:off x="0" y="37124640"/>
          <a:ext cx="5600700" cy="4128135"/>
        </a:xfrm>
        <a:prstGeom prst="rect">
          <a:avLst/>
        </a:prstGeom>
      </xdr:spPr>
    </xdr:pic>
    <xdr:clientData/>
  </xdr:twoCellAnchor>
  <xdr:twoCellAnchor editAs="oneCell">
    <xdr:from>
      <xdr:col>0</xdr:col>
      <xdr:colOff>0</xdr:colOff>
      <xdr:row>226</xdr:row>
      <xdr:rowOff>0</xdr:rowOff>
    </xdr:from>
    <xdr:to>
      <xdr:col>5</xdr:col>
      <xdr:colOff>252688</xdr:colOff>
      <xdr:row>248</xdr:row>
      <xdr:rowOff>85190</xdr:rowOff>
    </xdr:to>
    <xdr:pic>
      <xdr:nvPicPr>
        <xdr:cNvPr id="9" name="Picture 8">
          <a:extLst>
            <a:ext uri="{FF2B5EF4-FFF2-40B4-BE49-F238E27FC236}">
              <a16:creationId xmlns:a16="http://schemas.microsoft.com/office/drawing/2014/main" id="{E8E6E381-07A6-4005-B6B3-F329A9EA9B61}"/>
            </a:ext>
          </a:extLst>
        </xdr:cNvPr>
        <xdr:cNvPicPr>
          <a:picLocks noChangeAspect="1"/>
        </xdr:cNvPicPr>
      </xdr:nvPicPr>
      <xdr:blipFill>
        <a:blip xmlns:r="http://schemas.openxmlformats.org/officeDocument/2006/relationships" r:embed="rId8"/>
        <a:stretch>
          <a:fillRect/>
        </a:stretch>
      </xdr:blipFill>
      <xdr:spPr>
        <a:xfrm>
          <a:off x="0" y="41879520"/>
          <a:ext cx="5419048" cy="41085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31</xdr:row>
      <xdr:rowOff>0</xdr:rowOff>
    </xdr:from>
    <xdr:to>
      <xdr:col>7</xdr:col>
      <xdr:colOff>541893</xdr:colOff>
      <xdr:row>58</xdr:row>
      <xdr:rowOff>161262</xdr:rowOff>
    </xdr:to>
    <xdr:pic>
      <xdr:nvPicPr>
        <xdr:cNvPr id="2" name="Picture 1">
          <a:extLst>
            <a:ext uri="{FF2B5EF4-FFF2-40B4-BE49-F238E27FC236}">
              <a16:creationId xmlns:a16="http://schemas.microsoft.com/office/drawing/2014/main" id="{86AB35EE-3050-4767-8710-04BE6C5466DF}"/>
            </a:ext>
          </a:extLst>
        </xdr:cNvPr>
        <xdr:cNvPicPr>
          <a:picLocks noChangeAspect="1"/>
        </xdr:cNvPicPr>
      </xdr:nvPicPr>
      <xdr:blipFill>
        <a:blip xmlns:r="http://schemas.openxmlformats.org/officeDocument/2006/relationships" r:embed="rId1"/>
        <a:stretch>
          <a:fillRect/>
        </a:stretch>
      </xdr:blipFill>
      <xdr:spPr>
        <a:xfrm>
          <a:off x="0" y="6583680"/>
          <a:ext cx="8489553" cy="5099022"/>
        </a:xfrm>
        <a:prstGeom prst="rect">
          <a:avLst/>
        </a:prstGeom>
      </xdr:spPr>
    </xdr:pic>
    <xdr:clientData/>
  </xdr:twoCellAnchor>
  <xdr:twoCellAnchor editAs="oneCell">
    <xdr:from>
      <xdr:col>0</xdr:col>
      <xdr:colOff>0</xdr:colOff>
      <xdr:row>59</xdr:row>
      <xdr:rowOff>0</xdr:rowOff>
    </xdr:from>
    <xdr:to>
      <xdr:col>7</xdr:col>
      <xdr:colOff>532369</xdr:colOff>
      <xdr:row>67</xdr:row>
      <xdr:rowOff>56952</xdr:rowOff>
    </xdr:to>
    <xdr:pic>
      <xdr:nvPicPr>
        <xdr:cNvPr id="3" name="Picture 2">
          <a:extLst>
            <a:ext uri="{FF2B5EF4-FFF2-40B4-BE49-F238E27FC236}">
              <a16:creationId xmlns:a16="http://schemas.microsoft.com/office/drawing/2014/main" id="{484D1553-010B-4859-93F6-99E557BB3C1D}"/>
            </a:ext>
          </a:extLst>
        </xdr:cNvPr>
        <xdr:cNvPicPr>
          <a:picLocks noChangeAspect="1"/>
        </xdr:cNvPicPr>
      </xdr:nvPicPr>
      <xdr:blipFill>
        <a:blip xmlns:r="http://schemas.openxmlformats.org/officeDocument/2006/relationships" r:embed="rId2"/>
        <a:stretch>
          <a:fillRect/>
        </a:stretch>
      </xdr:blipFill>
      <xdr:spPr>
        <a:xfrm>
          <a:off x="0" y="11704320"/>
          <a:ext cx="8480029" cy="1519992"/>
        </a:xfrm>
        <a:prstGeom prst="rect">
          <a:avLst/>
        </a:prstGeom>
      </xdr:spPr>
    </xdr:pic>
    <xdr:clientData/>
  </xdr:twoCellAnchor>
  <xdr:twoCellAnchor editAs="oneCell">
    <xdr:from>
      <xdr:col>0</xdr:col>
      <xdr:colOff>0</xdr:colOff>
      <xdr:row>75</xdr:row>
      <xdr:rowOff>0</xdr:rowOff>
    </xdr:from>
    <xdr:to>
      <xdr:col>9</xdr:col>
      <xdr:colOff>227455</xdr:colOff>
      <xdr:row>102</xdr:row>
      <xdr:rowOff>27929</xdr:rowOff>
    </xdr:to>
    <xdr:pic>
      <xdr:nvPicPr>
        <xdr:cNvPr id="4" name="Picture 3">
          <a:extLst>
            <a:ext uri="{FF2B5EF4-FFF2-40B4-BE49-F238E27FC236}">
              <a16:creationId xmlns:a16="http://schemas.microsoft.com/office/drawing/2014/main" id="{1D07C336-26CC-4FA8-B875-AD624B9650D9}"/>
            </a:ext>
          </a:extLst>
        </xdr:cNvPr>
        <xdr:cNvPicPr>
          <a:picLocks noChangeAspect="1"/>
        </xdr:cNvPicPr>
      </xdr:nvPicPr>
      <xdr:blipFill>
        <a:blip xmlns:r="http://schemas.openxmlformats.org/officeDocument/2006/relationships" r:embed="rId3"/>
        <a:stretch>
          <a:fillRect/>
        </a:stretch>
      </xdr:blipFill>
      <xdr:spPr>
        <a:xfrm>
          <a:off x="0" y="14630400"/>
          <a:ext cx="9394315" cy="4965689"/>
        </a:xfrm>
        <a:prstGeom prst="rect">
          <a:avLst/>
        </a:prstGeom>
      </xdr:spPr>
    </xdr:pic>
    <xdr:clientData/>
  </xdr:twoCellAnchor>
  <xdr:twoCellAnchor editAs="oneCell">
    <xdr:from>
      <xdr:col>0</xdr:col>
      <xdr:colOff>0</xdr:colOff>
      <xdr:row>107</xdr:row>
      <xdr:rowOff>0</xdr:rowOff>
    </xdr:from>
    <xdr:to>
      <xdr:col>8</xdr:col>
      <xdr:colOff>494198</xdr:colOff>
      <xdr:row>132</xdr:row>
      <xdr:rowOff>182261</xdr:rowOff>
    </xdr:to>
    <xdr:pic>
      <xdr:nvPicPr>
        <xdr:cNvPr id="5" name="Picture 4">
          <a:extLst>
            <a:ext uri="{FF2B5EF4-FFF2-40B4-BE49-F238E27FC236}">
              <a16:creationId xmlns:a16="http://schemas.microsoft.com/office/drawing/2014/main" id="{82E136F4-756C-4B23-97D0-2E5FEB741F11}"/>
            </a:ext>
          </a:extLst>
        </xdr:cNvPr>
        <xdr:cNvPicPr>
          <a:picLocks noChangeAspect="1"/>
        </xdr:cNvPicPr>
      </xdr:nvPicPr>
      <xdr:blipFill>
        <a:blip xmlns:r="http://schemas.openxmlformats.org/officeDocument/2006/relationships" r:embed="rId4"/>
        <a:stretch>
          <a:fillRect/>
        </a:stretch>
      </xdr:blipFill>
      <xdr:spPr>
        <a:xfrm>
          <a:off x="0" y="20482560"/>
          <a:ext cx="9051458" cy="475426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31</xdr:row>
      <xdr:rowOff>0</xdr:rowOff>
    </xdr:from>
    <xdr:to>
      <xdr:col>7</xdr:col>
      <xdr:colOff>153273</xdr:colOff>
      <xdr:row>58</xdr:row>
      <xdr:rowOff>161262</xdr:rowOff>
    </xdr:to>
    <xdr:pic>
      <xdr:nvPicPr>
        <xdr:cNvPr id="2" name="Picture 1">
          <a:extLst>
            <a:ext uri="{FF2B5EF4-FFF2-40B4-BE49-F238E27FC236}">
              <a16:creationId xmlns:a16="http://schemas.microsoft.com/office/drawing/2014/main" id="{7BA868CC-E779-424F-9DD0-1FA4DEB3D295}"/>
            </a:ext>
          </a:extLst>
        </xdr:cNvPr>
        <xdr:cNvPicPr>
          <a:picLocks noChangeAspect="1"/>
        </xdr:cNvPicPr>
      </xdr:nvPicPr>
      <xdr:blipFill>
        <a:blip xmlns:r="http://schemas.openxmlformats.org/officeDocument/2006/relationships" r:embed="rId1"/>
        <a:stretch>
          <a:fillRect/>
        </a:stretch>
      </xdr:blipFill>
      <xdr:spPr>
        <a:xfrm>
          <a:off x="0" y="6583680"/>
          <a:ext cx="8489553" cy="5099022"/>
        </a:xfrm>
        <a:prstGeom prst="rect">
          <a:avLst/>
        </a:prstGeom>
      </xdr:spPr>
    </xdr:pic>
    <xdr:clientData/>
  </xdr:twoCellAnchor>
  <xdr:twoCellAnchor editAs="oneCell">
    <xdr:from>
      <xdr:col>0</xdr:col>
      <xdr:colOff>0</xdr:colOff>
      <xdr:row>59</xdr:row>
      <xdr:rowOff>0</xdr:rowOff>
    </xdr:from>
    <xdr:to>
      <xdr:col>7</xdr:col>
      <xdr:colOff>143749</xdr:colOff>
      <xdr:row>67</xdr:row>
      <xdr:rowOff>56952</xdr:rowOff>
    </xdr:to>
    <xdr:pic>
      <xdr:nvPicPr>
        <xdr:cNvPr id="3" name="Picture 2">
          <a:extLst>
            <a:ext uri="{FF2B5EF4-FFF2-40B4-BE49-F238E27FC236}">
              <a16:creationId xmlns:a16="http://schemas.microsoft.com/office/drawing/2014/main" id="{6ECAC565-D1A2-4976-9FC5-EAD79E4FB114}"/>
            </a:ext>
          </a:extLst>
        </xdr:cNvPr>
        <xdr:cNvPicPr>
          <a:picLocks noChangeAspect="1"/>
        </xdr:cNvPicPr>
      </xdr:nvPicPr>
      <xdr:blipFill>
        <a:blip xmlns:r="http://schemas.openxmlformats.org/officeDocument/2006/relationships" r:embed="rId2"/>
        <a:stretch>
          <a:fillRect/>
        </a:stretch>
      </xdr:blipFill>
      <xdr:spPr>
        <a:xfrm>
          <a:off x="0" y="11704320"/>
          <a:ext cx="8480029" cy="1519992"/>
        </a:xfrm>
        <a:prstGeom prst="rect">
          <a:avLst/>
        </a:prstGeom>
      </xdr:spPr>
    </xdr:pic>
    <xdr:clientData/>
  </xdr:twoCellAnchor>
  <xdr:twoCellAnchor editAs="oneCell">
    <xdr:from>
      <xdr:col>0</xdr:col>
      <xdr:colOff>0</xdr:colOff>
      <xdr:row>75</xdr:row>
      <xdr:rowOff>0</xdr:rowOff>
    </xdr:from>
    <xdr:to>
      <xdr:col>8</xdr:col>
      <xdr:colOff>448435</xdr:colOff>
      <xdr:row>102</xdr:row>
      <xdr:rowOff>27929</xdr:rowOff>
    </xdr:to>
    <xdr:pic>
      <xdr:nvPicPr>
        <xdr:cNvPr id="4" name="Picture 3">
          <a:extLst>
            <a:ext uri="{FF2B5EF4-FFF2-40B4-BE49-F238E27FC236}">
              <a16:creationId xmlns:a16="http://schemas.microsoft.com/office/drawing/2014/main" id="{7B3B0717-4D63-4532-A6CE-DDCCB137639D}"/>
            </a:ext>
          </a:extLst>
        </xdr:cNvPr>
        <xdr:cNvPicPr>
          <a:picLocks noChangeAspect="1"/>
        </xdr:cNvPicPr>
      </xdr:nvPicPr>
      <xdr:blipFill>
        <a:blip xmlns:r="http://schemas.openxmlformats.org/officeDocument/2006/relationships" r:embed="rId3"/>
        <a:stretch>
          <a:fillRect/>
        </a:stretch>
      </xdr:blipFill>
      <xdr:spPr>
        <a:xfrm>
          <a:off x="0" y="14630400"/>
          <a:ext cx="9394315" cy="4965689"/>
        </a:xfrm>
        <a:prstGeom prst="rect">
          <a:avLst/>
        </a:prstGeom>
      </xdr:spPr>
    </xdr:pic>
    <xdr:clientData/>
  </xdr:twoCellAnchor>
  <xdr:twoCellAnchor editAs="oneCell">
    <xdr:from>
      <xdr:col>0</xdr:col>
      <xdr:colOff>0</xdr:colOff>
      <xdr:row>107</xdr:row>
      <xdr:rowOff>0</xdr:rowOff>
    </xdr:from>
    <xdr:to>
      <xdr:col>8</xdr:col>
      <xdr:colOff>105578</xdr:colOff>
      <xdr:row>132</xdr:row>
      <xdr:rowOff>182261</xdr:rowOff>
    </xdr:to>
    <xdr:pic>
      <xdr:nvPicPr>
        <xdr:cNvPr id="5" name="Picture 4">
          <a:extLst>
            <a:ext uri="{FF2B5EF4-FFF2-40B4-BE49-F238E27FC236}">
              <a16:creationId xmlns:a16="http://schemas.microsoft.com/office/drawing/2014/main" id="{9E17FC7F-DF08-46D9-995F-FF308D2A7141}"/>
            </a:ext>
          </a:extLst>
        </xdr:cNvPr>
        <xdr:cNvPicPr>
          <a:picLocks noChangeAspect="1"/>
        </xdr:cNvPicPr>
      </xdr:nvPicPr>
      <xdr:blipFill>
        <a:blip xmlns:r="http://schemas.openxmlformats.org/officeDocument/2006/relationships" r:embed="rId4"/>
        <a:stretch>
          <a:fillRect/>
        </a:stretch>
      </xdr:blipFill>
      <xdr:spPr>
        <a:xfrm>
          <a:off x="0" y="20482560"/>
          <a:ext cx="9051458" cy="475426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31</xdr:row>
      <xdr:rowOff>0</xdr:rowOff>
    </xdr:from>
    <xdr:to>
      <xdr:col>9</xdr:col>
      <xdr:colOff>298053</xdr:colOff>
      <xdr:row>58</xdr:row>
      <xdr:rowOff>161262</xdr:rowOff>
    </xdr:to>
    <xdr:pic>
      <xdr:nvPicPr>
        <xdr:cNvPr id="2" name="Picture 1">
          <a:extLst>
            <a:ext uri="{FF2B5EF4-FFF2-40B4-BE49-F238E27FC236}">
              <a16:creationId xmlns:a16="http://schemas.microsoft.com/office/drawing/2014/main" id="{C812DBEE-0B1C-44C9-B0B0-0BE9915EB91C}"/>
            </a:ext>
          </a:extLst>
        </xdr:cNvPr>
        <xdr:cNvPicPr>
          <a:picLocks noChangeAspect="1"/>
        </xdr:cNvPicPr>
      </xdr:nvPicPr>
      <xdr:blipFill>
        <a:blip xmlns:r="http://schemas.openxmlformats.org/officeDocument/2006/relationships" r:embed="rId1"/>
        <a:stretch>
          <a:fillRect/>
        </a:stretch>
      </xdr:blipFill>
      <xdr:spPr>
        <a:xfrm>
          <a:off x="0" y="6583680"/>
          <a:ext cx="8489553" cy="5099022"/>
        </a:xfrm>
        <a:prstGeom prst="rect">
          <a:avLst/>
        </a:prstGeom>
      </xdr:spPr>
    </xdr:pic>
    <xdr:clientData/>
  </xdr:twoCellAnchor>
  <xdr:twoCellAnchor editAs="oneCell">
    <xdr:from>
      <xdr:col>0</xdr:col>
      <xdr:colOff>0</xdr:colOff>
      <xdr:row>59</xdr:row>
      <xdr:rowOff>0</xdr:rowOff>
    </xdr:from>
    <xdr:to>
      <xdr:col>9</xdr:col>
      <xdr:colOff>288529</xdr:colOff>
      <xdr:row>67</xdr:row>
      <xdr:rowOff>56952</xdr:rowOff>
    </xdr:to>
    <xdr:pic>
      <xdr:nvPicPr>
        <xdr:cNvPr id="3" name="Picture 2">
          <a:extLst>
            <a:ext uri="{FF2B5EF4-FFF2-40B4-BE49-F238E27FC236}">
              <a16:creationId xmlns:a16="http://schemas.microsoft.com/office/drawing/2014/main" id="{113627A4-5114-4B7A-B230-7AA72912254F}"/>
            </a:ext>
          </a:extLst>
        </xdr:cNvPr>
        <xdr:cNvPicPr>
          <a:picLocks noChangeAspect="1"/>
        </xdr:cNvPicPr>
      </xdr:nvPicPr>
      <xdr:blipFill>
        <a:blip xmlns:r="http://schemas.openxmlformats.org/officeDocument/2006/relationships" r:embed="rId2"/>
        <a:stretch>
          <a:fillRect/>
        </a:stretch>
      </xdr:blipFill>
      <xdr:spPr>
        <a:xfrm>
          <a:off x="0" y="11704320"/>
          <a:ext cx="8480029" cy="1519992"/>
        </a:xfrm>
        <a:prstGeom prst="rect">
          <a:avLst/>
        </a:prstGeom>
      </xdr:spPr>
    </xdr:pic>
    <xdr:clientData/>
  </xdr:twoCellAnchor>
  <xdr:twoCellAnchor editAs="oneCell">
    <xdr:from>
      <xdr:col>0</xdr:col>
      <xdr:colOff>0</xdr:colOff>
      <xdr:row>75</xdr:row>
      <xdr:rowOff>0</xdr:rowOff>
    </xdr:from>
    <xdr:to>
      <xdr:col>10</xdr:col>
      <xdr:colOff>593215</xdr:colOff>
      <xdr:row>102</xdr:row>
      <xdr:rowOff>27929</xdr:rowOff>
    </xdr:to>
    <xdr:pic>
      <xdr:nvPicPr>
        <xdr:cNvPr id="4" name="Picture 3">
          <a:extLst>
            <a:ext uri="{FF2B5EF4-FFF2-40B4-BE49-F238E27FC236}">
              <a16:creationId xmlns:a16="http://schemas.microsoft.com/office/drawing/2014/main" id="{11EC277B-D4CC-473C-9BA4-C22438E41314}"/>
            </a:ext>
          </a:extLst>
        </xdr:cNvPr>
        <xdr:cNvPicPr>
          <a:picLocks noChangeAspect="1"/>
        </xdr:cNvPicPr>
      </xdr:nvPicPr>
      <xdr:blipFill>
        <a:blip xmlns:r="http://schemas.openxmlformats.org/officeDocument/2006/relationships" r:embed="rId3"/>
        <a:stretch>
          <a:fillRect/>
        </a:stretch>
      </xdr:blipFill>
      <xdr:spPr>
        <a:xfrm>
          <a:off x="0" y="14630400"/>
          <a:ext cx="9394315" cy="4965689"/>
        </a:xfrm>
        <a:prstGeom prst="rect">
          <a:avLst/>
        </a:prstGeom>
      </xdr:spPr>
    </xdr:pic>
    <xdr:clientData/>
  </xdr:twoCellAnchor>
  <xdr:twoCellAnchor editAs="oneCell">
    <xdr:from>
      <xdr:col>0</xdr:col>
      <xdr:colOff>0</xdr:colOff>
      <xdr:row>107</xdr:row>
      <xdr:rowOff>0</xdr:rowOff>
    </xdr:from>
    <xdr:to>
      <xdr:col>10</xdr:col>
      <xdr:colOff>250358</xdr:colOff>
      <xdr:row>132</xdr:row>
      <xdr:rowOff>182261</xdr:rowOff>
    </xdr:to>
    <xdr:pic>
      <xdr:nvPicPr>
        <xdr:cNvPr id="5" name="Picture 4">
          <a:extLst>
            <a:ext uri="{FF2B5EF4-FFF2-40B4-BE49-F238E27FC236}">
              <a16:creationId xmlns:a16="http://schemas.microsoft.com/office/drawing/2014/main" id="{F5F31330-C2E0-4824-A3ED-D8B05FDC2F19}"/>
            </a:ext>
          </a:extLst>
        </xdr:cNvPr>
        <xdr:cNvPicPr>
          <a:picLocks noChangeAspect="1"/>
        </xdr:cNvPicPr>
      </xdr:nvPicPr>
      <xdr:blipFill>
        <a:blip xmlns:r="http://schemas.openxmlformats.org/officeDocument/2006/relationships" r:embed="rId4"/>
        <a:stretch>
          <a:fillRect/>
        </a:stretch>
      </xdr:blipFill>
      <xdr:spPr>
        <a:xfrm>
          <a:off x="0" y="20482560"/>
          <a:ext cx="9051458" cy="4754261"/>
        </a:xfrm>
        <a:prstGeom prst="rect">
          <a:avLst/>
        </a:prstGeom>
      </xdr:spPr>
    </xdr:pic>
    <xdr:clientData/>
  </xdr:twoCellAnchor>
  <xdr:twoCellAnchor editAs="oneCell">
    <xdr:from>
      <xdr:col>0</xdr:col>
      <xdr:colOff>0</xdr:colOff>
      <xdr:row>137</xdr:row>
      <xdr:rowOff>0</xdr:rowOff>
    </xdr:from>
    <xdr:to>
      <xdr:col>4</xdr:col>
      <xdr:colOff>248994</xdr:colOff>
      <xdr:row>151</xdr:row>
      <xdr:rowOff>161571</xdr:rowOff>
    </xdr:to>
    <xdr:pic>
      <xdr:nvPicPr>
        <xdr:cNvPr id="6" name="Picture 5">
          <a:extLst>
            <a:ext uri="{FF2B5EF4-FFF2-40B4-BE49-F238E27FC236}">
              <a16:creationId xmlns:a16="http://schemas.microsoft.com/office/drawing/2014/main" id="{D6284153-3E60-4842-872A-BE127ECC4C65}"/>
            </a:ext>
          </a:extLst>
        </xdr:cNvPr>
        <xdr:cNvPicPr>
          <a:picLocks noChangeAspect="1"/>
        </xdr:cNvPicPr>
      </xdr:nvPicPr>
      <xdr:blipFill>
        <a:blip xmlns:r="http://schemas.openxmlformats.org/officeDocument/2006/relationships" r:embed="rId5"/>
        <a:stretch>
          <a:fillRect/>
        </a:stretch>
      </xdr:blipFill>
      <xdr:spPr>
        <a:xfrm>
          <a:off x="0" y="25968960"/>
          <a:ext cx="4485714" cy="2721891"/>
        </a:xfrm>
        <a:prstGeom prst="rect">
          <a:avLst/>
        </a:prstGeom>
      </xdr:spPr>
    </xdr:pic>
    <xdr:clientData/>
  </xdr:twoCellAnchor>
  <xdr:twoCellAnchor editAs="oneCell">
    <xdr:from>
      <xdr:col>0</xdr:col>
      <xdr:colOff>0</xdr:colOff>
      <xdr:row>155</xdr:row>
      <xdr:rowOff>0</xdr:rowOff>
    </xdr:from>
    <xdr:to>
      <xdr:col>11</xdr:col>
      <xdr:colOff>316948</xdr:colOff>
      <xdr:row>186</xdr:row>
      <xdr:rowOff>84976</xdr:rowOff>
    </xdr:to>
    <xdr:pic>
      <xdr:nvPicPr>
        <xdr:cNvPr id="7" name="Picture 6">
          <a:extLst>
            <a:ext uri="{FF2B5EF4-FFF2-40B4-BE49-F238E27FC236}">
              <a16:creationId xmlns:a16="http://schemas.microsoft.com/office/drawing/2014/main" id="{EF5AA8D7-3789-441B-A25D-0F8A7AE8D9CF}"/>
            </a:ext>
          </a:extLst>
        </xdr:cNvPr>
        <xdr:cNvPicPr>
          <a:picLocks noChangeAspect="1"/>
        </xdr:cNvPicPr>
      </xdr:nvPicPr>
      <xdr:blipFill>
        <a:blip xmlns:r="http://schemas.openxmlformats.org/officeDocument/2006/relationships" r:embed="rId6"/>
        <a:stretch>
          <a:fillRect/>
        </a:stretch>
      </xdr:blipFill>
      <xdr:spPr>
        <a:xfrm>
          <a:off x="0" y="29443680"/>
          <a:ext cx="9727648" cy="5754256"/>
        </a:xfrm>
        <a:prstGeom prst="rect">
          <a:avLst/>
        </a:prstGeom>
      </xdr:spPr>
    </xdr:pic>
    <xdr:clientData/>
  </xdr:twoCellAnchor>
  <xdr:twoCellAnchor editAs="oneCell">
    <xdr:from>
      <xdr:col>0</xdr:col>
      <xdr:colOff>0</xdr:colOff>
      <xdr:row>196</xdr:row>
      <xdr:rowOff>0</xdr:rowOff>
    </xdr:from>
    <xdr:to>
      <xdr:col>5</xdr:col>
      <xdr:colOff>434340</xdr:colOff>
      <xdr:row>218</xdr:row>
      <xdr:rowOff>104775</xdr:rowOff>
    </xdr:to>
    <xdr:pic>
      <xdr:nvPicPr>
        <xdr:cNvPr id="8" name="Picture 7">
          <a:extLst>
            <a:ext uri="{FF2B5EF4-FFF2-40B4-BE49-F238E27FC236}">
              <a16:creationId xmlns:a16="http://schemas.microsoft.com/office/drawing/2014/main" id="{7897DA4B-AA02-4A2D-955A-660E89BEB9DC}"/>
            </a:ext>
          </a:extLst>
        </xdr:cNvPr>
        <xdr:cNvPicPr>
          <a:picLocks noChangeAspect="1"/>
        </xdr:cNvPicPr>
      </xdr:nvPicPr>
      <xdr:blipFill>
        <a:blip xmlns:r="http://schemas.openxmlformats.org/officeDocument/2006/relationships" r:embed="rId7"/>
        <a:stretch>
          <a:fillRect/>
        </a:stretch>
      </xdr:blipFill>
      <xdr:spPr>
        <a:xfrm>
          <a:off x="0" y="36758880"/>
          <a:ext cx="5600700" cy="412813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31</xdr:row>
      <xdr:rowOff>0</xdr:rowOff>
    </xdr:from>
    <xdr:to>
      <xdr:col>9</xdr:col>
      <xdr:colOff>99933</xdr:colOff>
      <xdr:row>58</xdr:row>
      <xdr:rowOff>161262</xdr:rowOff>
    </xdr:to>
    <xdr:pic>
      <xdr:nvPicPr>
        <xdr:cNvPr id="2" name="Picture 1">
          <a:extLst>
            <a:ext uri="{FF2B5EF4-FFF2-40B4-BE49-F238E27FC236}">
              <a16:creationId xmlns:a16="http://schemas.microsoft.com/office/drawing/2014/main" id="{1C82522C-E57A-4CC4-9F04-A723610F43BA}"/>
            </a:ext>
          </a:extLst>
        </xdr:cNvPr>
        <xdr:cNvPicPr>
          <a:picLocks noChangeAspect="1"/>
        </xdr:cNvPicPr>
      </xdr:nvPicPr>
      <xdr:blipFill>
        <a:blip xmlns:r="http://schemas.openxmlformats.org/officeDocument/2006/relationships" r:embed="rId1"/>
        <a:stretch>
          <a:fillRect/>
        </a:stretch>
      </xdr:blipFill>
      <xdr:spPr>
        <a:xfrm>
          <a:off x="0" y="6583680"/>
          <a:ext cx="8489553" cy="5099022"/>
        </a:xfrm>
        <a:prstGeom prst="rect">
          <a:avLst/>
        </a:prstGeom>
      </xdr:spPr>
    </xdr:pic>
    <xdr:clientData/>
  </xdr:twoCellAnchor>
  <xdr:twoCellAnchor editAs="oneCell">
    <xdr:from>
      <xdr:col>0</xdr:col>
      <xdr:colOff>0</xdr:colOff>
      <xdr:row>59</xdr:row>
      <xdr:rowOff>0</xdr:rowOff>
    </xdr:from>
    <xdr:to>
      <xdr:col>9</xdr:col>
      <xdr:colOff>90409</xdr:colOff>
      <xdr:row>67</xdr:row>
      <xdr:rowOff>56952</xdr:rowOff>
    </xdr:to>
    <xdr:pic>
      <xdr:nvPicPr>
        <xdr:cNvPr id="3" name="Picture 2">
          <a:extLst>
            <a:ext uri="{FF2B5EF4-FFF2-40B4-BE49-F238E27FC236}">
              <a16:creationId xmlns:a16="http://schemas.microsoft.com/office/drawing/2014/main" id="{14684CF6-E242-4B42-95D1-584BDDFFDFFF}"/>
            </a:ext>
          </a:extLst>
        </xdr:cNvPr>
        <xdr:cNvPicPr>
          <a:picLocks noChangeAspect="1"/>
        </xdr:cNvPicPr>
      </xdr:nvPicPr>
      <xdr:blipFill>
        <a:blip xmlns:r="http://schemas.openxmlformats.org/officeDocument/2006/relationships" r:embed="rId2"/>
        <a:stretch>
          <a:fillRect/>
        </a:stretch>
      </xdr:blipFill>
      <xdr:spPr>
        <a:xfrm>
          <a:off x="0" y="11704320"/>
          <a:ext cx="8480029" cy="1519992"/>
        </a:xfrm>
        <a:prstGeom prst="rect">
          <a:avLst/>
        </a:prstGeom>
      </xdr:spPr>
    </xdr:pic>
    <xdr:clientData/>
  </xdr:twoCellAnchor>
  <xdr:twoCellAnchor editAs="oneCell">
    <xdr:from>
      <xdr:col>0</xdr:col>
      <xdr:colOff>0</xdr:colOff>
      <xdr:row>75</xdr:row>
      <xdr:rowOff>0</xdr:rowOff>
    </xdr:from>
    <xdr:to>
      <xdr:col>10</xdr:col>
      <xdr:colOff>395095</xdr:colOff>
      <xdr:row>102</xdr:row>
      <xdr:rowOff>27929</xdr:rowOff>
    </xdr:to>
    <xdr:pic>
      <xdr:nvPicPr>
        <xdr:cNvPr id="4" name="Picture 3">
          <a:extLst>
            <a:ext uri="{FF2B5EF4-FFF2-40B4-BE49-F238E27FC236}">
              <a16:creationId xmlns:a16="http://schemas.microsoft.com/office/drawing/2014/main" id="{E6613807-606B-4FCF-B6D5-18B2C3C7508A}"/>
            </a:ext>
          </a:extLst>
        </xdr:cNvPr>
        <xdr:cNvPicPr>
          <a:picLocks noChangeAspect="1"/>
        </xdr:cNvPicPr>
      </xdr:nvPicPr>
      <xdr:blipFill>
        <a:blip xmlns:r="http://schemas.openxmlformats.org/officeDocument/2006/relationships" r:embed="rId3"/>
        <a:stretch>
          <a:fillRect/>
        </a:stretch>
      </xdr:blipFill>
      <xdr:spPr>
        <a:xfrm>
          <a:off x="0" y="14630400"/>
          <a:ext cx="9394315" cy="4965689"/>
        </a:xfrm>
        <a:prstGeom prst="rect">
          <a:avLst/>
        </a:prstGeom>
      </xdr:spPr>
    </xdr:pic>
    <xdr:clientData/>
  </xdr:twoCellAnchor>
  <xdr:twoCellAnchor editAs="oneCell">
    <xdr:from>
      <xdr:col>0</xdr:col>
      <xdr:colOff>0</xdr:colOff>
      <xdr:row>107</xdr:row>
      <xdr:rowOff>0</xdr:rowOff>
    </xdr:from>
    <xdr:to>
      <xdr:col>10</xdr:col>
      <xdr:colOff>52238</xdr:colOff>
      <xdr:row>132</xdr:row>
      <xdr:rowOff>182261</xdr:rowOff>
    </xdr:to>
    <xdr:pic>
      <xdr:nvPicPr>
        <xdr:cNvPr id="5" name="Picture 4">
          <a:extLst>
            <a:ext uri="{FF2B5EF4-FFF2-40B4-BE49-F238E27FC236}">
              <a16:creationId xmlns:a16="http://schemas.microsoft.com/office/drawing/2014/main" id="{903A438E-FBC7-44BF-AAC5-CC995AC59D0D}"/>
            </a:ext>
          </a:extLst>
        </xdr:cNvPr>
        <xdr:cNvPicPr>
          <a:picLocks noChangeAspect="1"/>
        </xdr:cNvPicPr>
      </xdr:nvPicPr>
      <xdr:blipFill>
        <a:blip xmlns:r="http://schemas.openxmlformats.org/officeDocument/2006/relationships" r:embed="rId4"/>
        <a:stretch>
          <a:fillRect/>
        </a:stretch>
      </xdr:blipFill>
      <xdr:spPr>
        <a:xfrm>
          <a:off x="0" y="20482560"/>
          <a:ext cx="9051458" cy="4754261"/>
        </a:xfrm>
        <a:prstGeom prst="rect">
          <a:avLst/>
        </a:prstGeom>
      </xdr:spPr>
    </xdr:pic>
    <xdr:clientData/>
  </xdr:twoCellAnchor>
  <xdr:twoCellAnchor editAs="oneCell">
    <xdr:from>
      <xdr:col>0</xdr:col>
      <xdr:colOff>0</xdr:colOff>
      <xdr:row>137</xdr:row>
      <xdr:rowOff>0</xdr:rowOff>
    </xdr:from>
    <xdr:to>
      <xdr:col>4</xdr:col>
      <xdr:colOff>248994</xdr:colOff>
      <xdr:row>151</xdr:row>
      <xdr:rowOff>161571</xdr:rowOff>
    </xdr:to>
    <xdr:pic>
      <xdr:nvPicPr>
        <xdr:cNvPr id="6" name="Picture 5">
          <a:extLst>
            <a:ext uri="{FF2B5EF4-FFF2-40B4-BE49-F238E27FC236}">
              <a16:creationId xmlns:a16="http://schemas.microsoft.com/office/drawing/2014/main" id="{5D099218-FAD4-4228-9AFB-5D1EA65B78F9}"/>
            </a:ext>
          </a:extLst>
        </xdr:cNvPr>
        <xdr:cNvPicPr>
          <a:picLocks noChangeAspect="1"/>
        </xdr:cNvPicPr>
      </xdr:nvPicPr>
      <xdr:blipFill>
        <a:blip xmlns:r="http://schemas.openxmlformats.org/officeDocument/2006/relationships" r:embed="rId5"/>
        <a:stretch>
          <a:fillRect/>
        </a:stretch>
      </xdr:blipFill>
      <xdr:spPr>
        <a:xfrm>
          <a:off x="0" y="25968960"/>
          <a:ext cx="4485714" cy="2721891"/>
        </a:xfrm>
        <a:prstGeom prst="rect">
          <a:avLst/>
        </a:prstGeom>
      </xdr:spPr>
    </xdr:pic>
    <xdr:clientData/>
  </xdr:twoCellAnchor>
  <xdr:twoCellAnchor editAs="oneCell">
    <xdr:from>
      <xdr:col>0</xdr:col>
      <xdr:colOff>0</xdr:colOff>
      <xdr:row>155</xdr:row>
      <xdr:rowOff>0</xdr:rowOff>
    </xdr:from>
    <xdr:to>
      <xdr:col>11</xdr:col>
      <xdr:colOff>118828</xdr:colOff>
      <xdr:row>186</xdr:row>
      <xdr:rowOff>84976</xdr:rowOff>
    </xdr:to>
    <xdr:pic>
      <xdr:nvPicPr>
        <xdr:cNvPr id="7" name="Picture 6">
          <a:extLst>
            <a:ext uri="{FF2B5EF4-FFF2-40B4-BE49-F238E27FC236}">
              <a16:creationId xmlns:a16="http://schemas.microsoft.com/office/drawing/2014/main" id="{87D0A4C3-83D2-4CC0-A6F9-57EB58183531}"/>
            </a:ext>
          </a:extLst>
        </xdr:cNvPr>
        <xdr:cNvPicPr>
          <a:picLocks noChangeAspect="1"/>
        </xdr:cNvPicPr>
      </xdr:nvPicPr>
      <xdr:blipFill>
        <a:blip xmlns:r="http://schemas.openxmlformats.org/officeDocument/2006/relationships" r:embed="rId6"/>
        <a:stretch>
          <a:fillRect/>
        </a:stretch>
      </xdr:blipFill>
      <xdr:spPr>
        <a:xfrm>
          <a:off x="0" y="29260800"/>
          <a:ext cx="9727648" cy="5754256"/>
        </a:xfrm>
        <a:prstGeom prst="rect">
          <a:avLst/>
        </a:prstGeom>
      </xdr:spPr>
    </xdr:pic>
    <xdr:clientData/>
  </xdr:twoCellAnchor>
  <xdr:twoCellAnchor editAs="oneCell">
    <xdr:from>
      <xdr:col>0</xdr:col>
      <xdr:colOff>0</xdr:colOff>
      <xdr:row>196</xdr:row>
      <xdr:rowOff>0</xdr:rowOff>
    </xdr:from>
    <xdr:to>
      <xdr:col>5</xdr:col>
      <xdr:colOff>434340</xdr:colOff>
      <xdr:row>218</xdr:row>
      <xdr:rowOff>104775</xdr:rowOff>
    </xdr:to>
    <xdr:pic>
      <xdr:nvPicPr>
        <xdr:cNvPr id="8" name="Picture 7">
          <a:extLst>
            <a:ext uri="{FF2B5EF4-FFF2-40B4-BE49-F238E27FC236}">
              <a16:creationId xmlns:a16="http://schemas.microsoft.com/office/drawing/2014/main" id="{31F282AF-FCE7-45F6-A532-E5AC886F61E8}"/>
            </a:ext>
          </a:extLst>
        </xdr:cNvPr>
        <xdr:cNvPicPr>
          <a:picLocks noChangeAspect="1"/>
        </xdr:cNvPicPr>
      </xdr:nvPicPr>
      <xdr:blipFill>
        <a:blip xmlns:r="http://schemas.openxmlformats.org/officeDocument/2006/relationships" r:embed="rId7"/>
        <a:stretch>
          <a:fillRect/>
        </a:stretch>
      </xdr:blipFill>
      <xdr:spPr>
        <a:xfrm>
          <a:off x="0" y="36758880"/>
          <a:ext cx="5600700" cy="412813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31</xdr:row>
      <xdr:rowOff>0</xdr:rowOff>
    </xdr:from>
    <xdr:to>
      <xdr:col>9</xdr:col>
      <xdr:colOff>298053</xdr:colOff>
      <xdr:row>58</xdr:row>
      <xdr:rowOff>161262</xdr:rowOff>
    </xdr:to>
    <xdr:pic>
      <xdr:nvPicPr>
        <xdr:cNvPr id="2" name="Picture 1">
          <a:extLst>
            <a:ext uri="{FF2B5EF4-FFF2-40B4-BE49-F238E27FC236}">
              <a16:creationId xmlns:a16="http://schemas.microsoft.com/office/drawing/2014/main" id="{52685CAE-8AA3-4C76-B6B0-009B47C02FDE}"/>
            </a:ext>
          </a:extLst>
        </xdr:cNvPr>
        <xdr:cNvPicPr>
          <a:picLocks noChangeAspect="1"/>
        </xdr:cNvPicPr>
      </xdr:nvPicPr>
      <xdr:blipFill>
        <a:blip xmlns:r="http://schemas.openxmlformats.org/officeDocument/2006/relationships" r:embed="rId1"/>
        <a:stretch>
          <a:fillRect/>
        </a:stretch>
      </xdr:blipFill>
      <xdr:spPr>
        <a:xfrm>
          <a:off x="0" y="6766560"/>
          <a:ext cx="8489553" cy="5099022"/>
        </a:xfrm>
        <a:prstGeom prst="rect">
          <a:avLst/>
        </a:prstGeom>
      </xdr:spPr>
    </xdr:pic>
    <xdr:clientData/>
  </xdr:twoCellAnchor>
  <xdr:twoCellAnchor editAs="oneCell">
    <xdr:from>
      <xdr:col>0</xdr:col>
      <xdr:colOff>0</xdr:colOff>
      <xdr:row>59</xdr:row>
      <xdr:rowOff>0</xdr:rowOff>
    </xdr:from>
    <xdr:to>
      <xdr:col>9</xdr:col>
      <xdr:colOff>288529</xdr:colOff>
      <xdr:row>67</xdr:row>
      <xdr:rowOff>56952</xdr:rowOff>
    </xdr:to>
    <xdr:pic>
      <xdr:nvPicPr>
        <xdr:cNvPr id="3" name="Picture 2">
          <a:extLst>
            <a:ext uri="{FF2B5EF4-FFF2-40B4-BE49-F238E27FC236}">
              <a16:creationId xmlns:a16="http://schemas.microsoft.com/office/drawing/2014/main" id="{840BAD00-DBD7-4A4E-91DC-1D6CC79D0BBF}"/>
            </a:ext>
          </a:extLst>
        </xdr:cNvPr>
        <xdr:cNvPicPr>
          <a:picLocks noChangeAspect="1"/>
        </xdr:cNvPicPr>
      </xdr:nvPicPr>
      <xdr:blipFill>
        <a:blip xmlns:r="http://schemas.openxmlformats.org/officeDocument/2006/relationships" r:embed="rId2"/>
        <a:stretch>
          <a:fillRect/>
        </a:stretch>
      </xdr:blipFill>
      <xdr:spPr>
        <a:xfrm>
          <a:off x="0" y="11887200"/>
          <a:ext cx="8480029" cy="1519992"/>
        </a:xfrm>
        <a:prstGeom prst="rect">
          <a:avLst/>
        </a:prstGeom>
      </xdr:spPr>
    </xdr:pic>
    <xdr:clientData/>
  </xdr:twoCellAnchor>
  <xdr:twoCellAnchor editAs="oneCell">
    <xdr:from>
      <xdr:col>0</xdr:col>
      <xdr:colOff>0</xdr:colOff>
      <xdr:row>75</xdr:row>
      <xdr:rowOff>0</xdr:rowOff>
    </xdr:from>
    <xdr:to>
      <xdr:col>10</xdr:col>
      <xdr:colOff>6475</xdr:colOff>
      <xdr:row>102</xdr:row>
      <xdr:rowOff>27929</xdr:rowOff>
    </xdr:to>
    <xdr:pic>
      <xdr:nvPicPr>
        <xdr:cNvPr id="4" name="Picture 3">
          <a:extLst>
            <a:ext uri="{FF2B5EF4-FFF2-40B4-BE49-F238E27FC236}">
              <a16:creationId xmlns:a16="http://schemas.microsoft.com/office/drawing/2014/main" id="{B4540FB8-6E37-447F-91AA-5E4756621C3F}"/>
            </a:ext>
          </a:extLst>
        </xdr:cNvPr>
        <xdr:cNvPicPr>
          <a:picLocks noChangeAspect="1"/>
        </xdr:cNvPicPr>
      </xdr:nvPicPr>
      <xdr:blipFill>
        <a:blip xmlns:r="http://schemas.openxmlformats.org/officeDocument/2006/relationships" r:embed="rId3"/>
        <a:stretch>
          <a:fillRect/>
        </a:stretch>
      </xdr:blipFill>
      <xdr:spPr>
        <a:xfrm>
          <a:off x="0" y="14813280"/>
          <a:ext cx="9394315" cy="4965689"/>
        </a:xfrm>
        <a:prstGeom prst="rect">
          <a:avLst/>
        </a:prstGeom>
      </xdr:spPr>
    </xdr:pic>
    <xdr:clientData/>
  </xdr:twoCellAnchor>
  <xdr:twoCellAnchor editAs="oneCell">
    <xdr:from>
      <xdr:col>0</xdr:col>
      <xdr:colOff>0</xdr:colOff>
      <xdr:row>107</xdr:row>
      <xdr:rowOff>0</xdr:rowOff>
    </xdr:from>
    <xdr:to>
      <xdr:col>9</xdr:col>
      <xdr:colOff>859958</xdr:colOff>
      <xdr:row>132</xdr:row>
      <xdr:rowOff>182261</xdr:rowOff>
    </xdr:to>
    <xdr:pic>
      <xdr:nvPicPr>
        <xdr:cNvPr id="5" name="Picture 4">
          <a:extLst>
            <a:ext uri="{FF2B5EF4-FFF2-40B4-BE49-F238E27FC236}">
              <a16:creationId xmlns:a16="http://schemas.microsoft.com/office/drawing/2014/main" id="{5BBEBEA6-2A28-48B8-AB6E-C354255D5B8D}"/>
            </a:ext>
          </a:extLst>
        </xdr:cNvPr>
        <xdr:cNvPicPr>
          <a:picLocks noChangeAspect="1"/>
        </xdr:cNvPicPr>
      </xdr:nvPicPr>
      <xdr:blipFill>
        <a:blip xmlns:r="http://schemas.openxmlformats.org/officeDocument/2006/relationships" r:embed="rId4"/>
        <a:stretch>
          <a:fillRect/>
        </a:stretch>
      </xdr:blipFill>
      <xdr:spPr>
        <a:xfrm>
          <a:off x="0" y="20665440"/>
          <a:ext cx="9051458" cy="4754261"/>
        </a:xfrm>
        <a:prstGeom prst="rect">
          <a:avLst/>
        </a:prstGeom>
      </xdr:spPr>
    </xdr:pic>
    <xdr:clientData/>
  </xdr:twoCellAnchor>
  <xdr:twoCellAnchor editAs="oneCell">
    <xdr:from>
      <xdr:col>0</xdr:col>
      <xdr:colOff>0</xdr:colOff>
      <xdr:row>137</xdr:row>
      <xdr:rowOff>0</xdr:rowOff>
    </xdr:from>
    <xdr:to>
      <xdr:col>4</xdr:col>
      <xdr:colOff>248994</xdr:colOff>
      <xdr:row>151</xdr:row>
      <xdr:rowOff>161571</xdr:rowOff>
    </xdr:to>
    <xdr:pic>
      <xdr:nvPicPr>
        <xdr:cNvPr id="6" name="Picture 5">
          <a:extLst>
            <a:ext uri="{FF2B5EF4-FFF2-40B4-BE49-F238E27FC236}">
              <a16:creationId xmlns:a16="http://schemas.microsoft.com/office/drawing/2014/main" id="{DDAE41D4-5438-433D-A2B6-D4774BF80530}"/>
            </a:ext>
          </a:extLst>
        </xdr:cNvPr>
        <xdr:cNvPicPr>
          <a:picLocks noChangeAspect="1"/>
        </xdr:cNvPicPr>
      </xdr:nvPicPr>
      <xdr:blipFill>
        <a:blip xmlns:r="http://schemas.openxmlformats.org/officeDocument/2006/relationships" r:embed="rId5"/>
        <a:stretch>
          <a:fillRect/>
        </a:stretch>
      </xdr:blipFill>
      <xdr:spPr>
        <a:xfrm>
          <a:off x="0" y="26151840"/>
          <a:ext cx="4485714" cy="2721891"/>
        </a:xfrm>
        <a:prstGeom prst="rect">
          <a:avLst/>
        </a:prstGeom>
      </xdr:spPr>
    </xdr:pic>
    <xdr:clientData/>
  </xdr:twoCellAnchor>
  <xdr:twoCellAnchor editAs="oneCell">
    <xdr:from>
      <xdr:col>0</xdr:col>
      <xdr:colOff>0</xdr:colOff>
      <xdr:row>155</xdr:row>
      <xdr:rowOff>0</xdr:rowOff>
    </xdr:from>
    <xdr:to>
      <xdr:col>10</xdr:col>
      <xdr:colOff>339808</xdr:colOff>
      <xdr:row>186</xdr:row>
      <xdr:rowOff>84976</xdr:rowOff>
    </xdr:to>
    <xdr:pic>
      <xdr:nvPicPr>
        <xdr:cNvPr id="7" name="Picture 6">
          <a:extLst>
            <a:ext uri="{FF2B5EF4-FFF2-40B4-BE49-F238E27FC236}">
              <a16:creationId xmlns:a16="http://schemas.microsoft.com/office/drawing/2014/main" id="{205D9CFE-22ED-4796-A719-B5A6422FC5DC}"/>
            </a:ext>
          </a:extLst>
        </xdr:cNvPr>
        <xdr:cNvPicPr>
          <a:picLocks noChangeAspect="1"/>
        </xdr:cNvPicPr>
      </xdr:nvPicPr>
      <xdr:blipFill>
        <a:blip xmlns:r="http://schemas.openxmlformats.org/officeDocument/2006/relationships" r:embed="rId6"/>
        <a:stretch>
          <a:fillRect/>
        </a:stretch>
      </xdr:blipFill>
      <xdr:spPr>
        <a:xfrm>
          <a:off x="0" y="29443680"/>
          <a:ext cx="9727648" cy="5754256"/>
        </a:xfrm>
        <a:prstGeom prst="rect">
          <a:avLst/>
        </a:prstGeom>
      </xdr:spPr>
    </xdr:pic>
    <xdr:clientData/>
  </xdr:twoCellAnchor>
  <xdr:twoCellAnchor editAs="oneCell">
    <xdr:from>
      <xdr:col>0</xdr:col>
      <xdr:colOff>0</xdr:colOff>
      <xdr:row>196</xdr:row>
      <xdr:rowOff>0</xdr:rowOff>
    </xdr:from>
    <xdr:to>
      <xdr:col>5</xdr:col>
      <xdr:colOff>434340</xdr:colOff>
      <xdr:row>218</xdr:row>
      <xdr:rowOff>104775</xdr:rowOff>
    </xdr:to>
    <xdr:pic>
      <xdr:nvPicPr>
        <xdr:cNvPr id="8" name="Picture 7">
          <a:extLst>
            <a:ext uri="{FF2B5EF4-FFF2-40B4-BE49-F238E27FC236}">
              <a16:creationId xmlns:a16="http://schemas.microsoft.com/office/drawing/2014/main" id="{875AE544-DB85-4F49-94F5-CB495D9945B1}"/>
            </a:ext>
          </a:extLst>
        </xdr:cNvPr>
        <xdr:cNvPicPr>
          <a:picLocks noChangeAspect="1"/>
        </xdr:cNvPicPr>
      </xdr:nvPicPr>
      <xdr:blipFill>
        <a:blip xmlns:r="http://schemas.openxmlformats.org/officeDocument/2006/relationships" r:embed="rId7"/>
        <a:stretch>
          <a:fillRect/>
        </a:stretch>
      </xdr:blipFill>
      <xdr:spPr>
        <a:xfrm>
          <a:off x="0" y="36941760"/>
          <a:ext cx="5600700" cy="4128135"/>
        </a:xfrm>
        <a:prstGeom prst="rect">
          <a:avLst/>
        </a:prstGeom>
      </xdr:spPr>
    </xdr:pic>
    <xdr:clientData/>
  </xdr:twoCellAnchor>
  <xdr:twoCellAnchor editAs="oneCell">
    <xdr:from>
      <xdr:col>0</xdr:col>
      <xdr:colOff>0</xdr:colOff>
      <xdr:row>222</xdr:row>
      <xdr:rowOff>0</xdr:rowOff>
    </xdr:from>
    <xdr:to>
      <xdr:col>5</xdr:col>
      <xdr:colOff>252688</xdr:colOff>
      <xdr:row>244</xdr:row>
      <xdr:rowOff>85190</xdr:rowOff>
    </xdr:to>
    <xdr:pic>
      <xdr:nvPicPr>
        <xdr:cNvPr id="9" name="Picture 8">
          <a:extLst>
            <a:ext uri="{FF2B5EF4-FFF2-40B4-BE49-F238E27FC236}">
              <a16:creationId xmlns:a16="http://schemas.microsoft.com/office/drawing/2014/main" id="{8DE862A0-0D99-4F20-8D26-41BF1BDDD793}"/>
            </a:ext>
          </a:extLst>
        </xdr:cNvPr>
        <xdr:cNvPicPr>
          <a:picLocks noChangeAspect="1"/>
        </xdr:cNvPicPr>
      </xdr:nvPicPr>
      <xdr:blipFill>
        <a:blip xmlns:r="http://schemas.openxmlformats.org/officeDocument/2006/relationships" r:embed="rId8"/>
        <a:stretch>
          <a:fillRect/>
        </a:stretch>
      </xdr:blipFill>
      <xdr:spPr>
        <a:xfrm>
          <a:off x="0" y="41696640"/>
          <a:ext cx="5419048" cy="41085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31</xdr:row>
      <xdr:rowOff>0</xdr:rowOff>
    </xdr:from>
    <xdr:to>
      <xdr:col>9</xdr:col>
      <xdr:colOff>298053</xdr:colOff>
      <xdr:row>58</xdr:row>
      <xdr:rowOff>161262</xdr:rowOff>
    </xdr:to>
    <xdr:pic>
      <xdr:nvPicPr>
        <xdr:cNvPr id="2" name="Picture 1">
          <a:extLst>
            <a:ext uri="{FF2B5EF4-FFF2-40B4-BE49-F238E27FC236}">
              <a16:creationId xmlns:a16="http://schemas.microsoft.com/office/drawing/2014/main" id="{8ED3353C-6105-4387-9335-9309E2EFE40E}"/>
            </a:ext>
          </a:extLst>
        </xdr:cNvPr>
        <xdr:cNvPicPr>
          <a:picLocks noChangeAspect="1"/>
        </xdr:cNvPicPr>
      </xdr:nvPicPr>
      <xdr:blipFill>
        <a:blip xmlns:r="http://schemas.openxmlformats.org/officeDocument/2006/relationships" r:embed="rId1"/>
        <a:stretch>
          <a:fillRect/>
        </a:stretch>
      </xdr:blipFill>
      <xdr:spPr>
        <a:xfrm>
          <a:off x="0" y="6766560"/>
          <a:ext cx="8489553" cy="5099022"/>
        </a:xfrm>
        <a:prstGeom prst="rect">
          <a:avLst/>
        </a:prstGeom>
      </xdr:spPr>
    </xdr:pic>
    <xdr:clientData/>
  </xdr:twoCellAnchor>
  <xdr:twoCellAnchor editAs="oneCell">
    <xdr:from>
      <xdr:col>0</xdr:col>
      <xdr:colOff>0</xdr:colOff>
      <xdr:row>59</xdr:row>
      <xdr:rowOff>0</xdr:rowOff>
    </xdr:from>
    <xdr:to>
      <xdr:col>9</xdr:col>
      <xdr:colOff>288529</xdr:colOff>
      <xdr:row>67</xdr:row>
      <xdr:rowOff>56952</xdr:rowOff>
    </xdr:to>
    <xdr:pic>
      <xdr:nvPicPr>
        <xdr:cNvPr id="3" name="Picture 2">
          <a:extLst>
            <a:ext uri="{FF2B5EF4-FFF2-40B4-BE49-F238E27FC236}">
              <a16:creationId xmlns:a16="http://schemas.microsoft.com/office/drawing/2014/main" id="{7B0B34A0-07C9-4C99-A2DF-55DECE427B78}"/>
            </a:ext>
          </a:extLst>
        </xdr:cNvPr>
        <xdr:cNvPicPr>
          <a:picLocks noChangeAspect="1"/>
        </xdr:cNvPicPr>
      </xdr:nvPicPr>
      <xdr:blipFill>
        <a:blip xmlns:r="http://schemas.openxmlformats.org/officeDocument/2006/relationships" r:embed="rId2"/>
        <a:stretch>
          <a:fillRect/>
        </a:stretch>
      </xdr:blipFill>
      <xdr:spPr>
        <a:xfrm>
          <a:off x="0" y="11887200"/>
          <a:ext cx="8480029" cy="1519992"/>
        </a:xfrm>
        <a:prstGeom prst="rect">
          <a:avLst/>
        </a:prstGeom>
      </xdr:spPr>
    </xdr:pic>
    <xdr:clientData/>
  </xdr:twoCellAnchor>
  <xdr:twoCellAnchor editAs="oneCell">
    <xdr:from>
      <xdr:col>0</xdr:col>
      <xdr:colOff>0</xdr:colOff>
      <xdr:row>75</xdr:row>
      <xdr:rowOff>0</xdr:rowOff>
    </xdr:from>
    <xdr:to>
      <xdr:col>10</xdr:col>
      <xdr:colOff>402715</xdr:colOff>
      <xdr:row>102</xdr:row>
      <xdr:rowOff>27929</xdr:rowOff>
    </xdr:to>
    <xdr:pic>
      <xdr:nvPicPr>
        <xdr:cNvPr id="4" name="Picture 3">
          <a:extLst>
            <a:ext uri="{FF2B5EF4-FFF2-40B4-BE49-F238E27FC236}">
              <a16:creationId xmlns:a16="http://schemas.microsoft.com/office/drawing/2014/main" id="{EAA9A7EA-5E92-4A94-92E5-C5B05B8BFF81}"/>
            </a:ext>
          </a:extLst>
        </xdr:cNvPr>
        <xdr:cNvPicPr>
          <a:picLocks noChangeAspect="1"/>
        </xdr:cNvPicPr>
      </xdr:nvPicPr>
      <xdr:blipFill>
        <a:blip xmlns:r="http://schemas.openxmlformats.org/officeDocument/2006/relationships" r:embed="rId3"/>
        <a:stretch>
          <a:fillRect/>
        </a:stretch>
      </xdr:blipFill>
      <xdr:spPr>
        <a:xfrm>
          <a:off x="0" y="14813280"/>
          <a:ext cx="9394315" cy="4965689"/>
        </a:xfrm>
        <a:prstGeom prst="rect">
          <a:avLst/>
        </a:prstGeom>
      </xdr:spPr>
    </xdr:pic>
    <xdr:clientData/>
  </xdr:twoCellAnchor>
  <xdr:twoCellAnchor editAs="oneCell">
    <xdr:from>
      <xdr:col>0</xdr:col>
      <xdr:colOff>0</xdr:colOff>
      <xdr:row>107</xdr:row>
      <xdr:rowOff>0</xdr:rowOff>
    </xdr:from>
    <xdr:to>
      <xdr:col>10</xdr:col>
      <xdr:colOff>59858</xdr:colOff>
      <xdr:row>132</xdr:row>
      <xdr:rowOff>182261</xdr:rowOff>
    </xdr:to>
    <xdr:pic>
      <xdr:nvPicPr>
        <xdr:cNvPr id="5" name="Picture 4">
          <a:extLst>
            <a:ext uri="{FF2B5EF4-FFF2-40B4-BE49-F238E27FC236}">
              <a16:creationId xmlns:a16="http://schemas.microsoft.com/office/drawing/2014/main" id="{6C49F359-2B8E-4931-85F5-5FE3F70CC11C}"/>
            </a:ext>
          </a:extLst>
        </xdr:cNvPr>
        <xdr:cNvPicPr>
          <a:picLocks noChangeAspect="1"/>
        </xdr:cNvPicPr>
      </xdr:nvPicPr>
      <xdr:blipFill>
        <a:blip xmlns:r="http://schemas.openxmlformats.org/officeDocument/2006/relationships" r:embed="rId4"/>
        <a:stretch>
          <a:fillRect/>
        </a:stretch>
      </xdr:blipFill>
      <xdr:spPr>
        <a:xfrm>
          <a:off x="0" y="20665440"/>
          <a:ext cx="9051458" cy="4754261"/>
        </a:xfrm>
        <a:prstGeom prst="rect">
          <a:avLst/>
        </a:prstGeom>
      </xdr:spPr>
    </xdr:pic>
    <xdr:clientData/>
  </xdr:twoCellAnchor>
  <xdr:twoCellAnchor editAs="oneCell">
    <xdr:from>
      <xdr:col>0</xdr:col>
      <xdr:colOff>0</xdr:colOff>
      <xdr:row>137</xdr:row>
      <xdr:rowOff>0</xdr:rowOff>
    </xdr:from>
    <xdr:to>
      <xdr:col>4</xdr:col>
      <xdr:colOff>248994</xdr:colOff>
      <xdr:row>151</xdr:row>
      <xdr:rowOff>161571</xdr:rowOff>
    </xdr:to>
    <xdr:pic>
      <xdr:nvPicPr>
        <xdr:cNvPr id="6" name="Picture 5">
          <a:extLst>
            <a:ext uri="{FF2B5EF4-FFF2-40B4-BE49-F238E27FC236}">
              <a16:creationId xmlns:a16="http://schemas.microsoft.com/office/drawing/2014/main" id="{57980F27-7496-4098-B41F-B00956E622CE}"/>
            </a:ext>
          </a:extLst>
        </xdr:cNvPr>
        <xdr:cNvPicPr>
          <a:picLocks noChangeAspect="1"/>
        </xdr:cNvPicPr>
      </xdr:nvPicPr>
      <xdr:blipFill>
        <a:blip xmlns:r="http://schemas.openxmlformats.org/officeDocument/2006/relationships" r:embed="rId5"/>
        <a:stretch>
          <a:fillRect/>
        </a:stretch>
      </xdr:blipFill>
      <xdr:spPr>
        <a:xfrm>
          <a:off x="0" y="26151840"/>
          <a:ext cx="4485714" cy="2721891"/>
        </a:xfrm>
        <a:prstGeom prst="rect">
          <a:avLst/>
        </a:prstGeom>
      </xdr:spPr>
    </xdr:pic>
    <xdr:clientData/>
  </xdr:twoCellAnchor>
  <xdr:twoCellAnchor editAs="oneCell">
    <xdr:from>
      <xdr:col>0</xdr:col>
      <xdr:colOff>0</xdr:colOff>
      <xdr:row>155</xdr:row>
      <xdr:rowOff>0</xdr:rowOff>
    </xdr:from>
    <xdr:to>
      <xdr:col>10</xdr:col>
      <xdr:colOff>736048</xdr:colOff>
      <xdr:row>186</xdr:row>
      <xdr:rowOff>84976</xdr:rowOff>
    </xdr:to>
    <xdr:pic>
      <xdr:nvPicPr>
        <xdr:cNvPr id="7" name="Picture 6">
          <a:extLst>
            <a:ext uri="{FF2B5EF4-FFF2-40B4-BE49-F238E27FC236}">
              <a16:creationId xmlns:a16="http://schemas.microsoft.com/office/drawing/2014/main" id="{8396393D-C6F0-4307-AFD3-9FD7586674F5}"/>
            </a:ext>
          </a:extLst>
        </xdr:cNvPr>
        <xdr:cNvPicPr>
          <a:picLocks noChangeAspect="1"/>
        </xdr:cNvPicPr>
      </xdr:nvPicPr>
      <xdr:blipFill>
        <a:blip xmlns:r="http://schemas.openxmlformats.org/officeDocument/2006/relationships" r:embed="rId6"/>
        <a:stretch>
          <a:fillRect/>
        </a:stretch>
      </xdr:blipFill>
      <xdr:spPr>
        <a:xfrm>
          <a:off x="0" y="29443680"/>
          <a:ext cx="9727648" cy="5754256"/>
        </a:xfrm>
        <a:prstGeom prst="rect">
          <a:avLst/>
        </a:prstGeom>
      </xdr:spPr>
    </xdr:pic>
    <xdr:clientData/>
  </xdr:twoCellAnchor>
  <xdr:twoCellAnchor editAs="oneCell">
    <xdr:from>
      <xdr:col>0</xdr:col>
      <xdr:colOff>0</xdr:colOff>
      <xdr:row>196</xdr:row>
      <xdr:rowOff>0</xdr:rowOff>
    </xdr:from>
    <xdr:to>
      <xdr:col>5</xdr:col>
      <xdr:colOff>434340</xdr:colOff>
      <xdr:row>218</xdr:row>
      <xdr:rowOff>104775</xdr:rowOff>
    </xdr:to>
    <xdr:pic>
      <xdr:nvPicPr>
        <xdr:cNvPr id="8" name="Picture 7">
          <a:extLst>
            <a:ext uri="{FF2B5EF4-FFF2-40B4-BE49-F238E27FC236}">
              <a16:creationId xmlns:a16="http://schemas.microsoft.com/office/drawing/2014/main" id="{913F2DFE-E457-455C-B246-8478CA642664}"/>
            </a:ext>
          </a:extLst>
        </xdr:cNvPr>
        <xdr:cNvPicPr>
          <a:picLocks noChangeAspect="1"/>
        </xdr:cNvPicPr>
      </xdr:nvPicPr>
      <xdr:blipFill>
        <a:blip xmlns:r="http://schemas.openxmlformats.org/officeDocument/2006/relationships" r:embed="rId7"/>
        <a:stretch>
          <a:fillRect/>
        </a:stretch>
      </xdr:blipFill>
      <xdr:spPr>
        <a:xfrm>
          <a:off x="0" y="36941760"/>
          <a:ext cx="5600700" cy="4128135"/>
        </a:xfrm>
        <a:prstGeom prst="rect">
          <a:avLst/>
        </a:prstGeom>
      </xdr:spPr>
    </xdr:pic>
    <xdr:clientData/>
  </xdr:twoCellAnchor>
  <xdr:twoCellAnchor editAs="oneCell">
    <xdr:from>
      <xdr:col>0</xdr:col>
      <xdr:colOff>0</xdr:colOff>
      <xdr:row>222</xdr:row>
      <xdr:rowOff>0</xdr:rowOff>
    </xdr:from>
    <xdr:to>
      <xdr:col>5</xdr:col>
      <xdr:colOff>252688</xdr:colOff>
      <xdr:row>244</xdr:row>
      <xdr:rowOff>85190</xdr:rowOff>
    </xdr:to>
    <xdr:pic>
      <xdr:nvPicPr>
        <xdr:cNvPr id="9" name="Picture 8">
          <a:extLst>
            <a:ext uri="{FF2B5EF4-FFF2-40B4-BE49-F238E27FC236}">
              <a16:creationId xmlns:a16="http://schemas.microsoft.com/office/drawing/2014/main" id="{4AD9A58A-B367-4BB4-ADA2-07794F5FED15}"/>
            </a:ext>
          </a:extLst>
        </xdr:cNvPr>
        <xdr:cNvPicPr>
          <a:picLocks noChangeAspect="1"/>
        </xdr:cNvPicPr>
      </xdr:nvPicPr>
      <xdr:blipFill>
        <a:blip xmlns:r="http://schemas.openxmlformats.org/officeDocument/2006/relationships" r:embed="rId8"/>
        <a:stretch>
          <a:fillRect/>
        </a:stretch>
      </xdr:blipFill>
      <xdr:spPr>
        <a:xfrm>
          <a:off x="0" y="41696640"/>
          <a:ext cx="5419048" cy="41085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32</xdr:row>
      <xdr:rowOff>0</xdr:rowOff>
    </xdr:from>
    <xdr:to>
      <xdr:col>9</xdr:col>
      <xdr:colOff>298053</xdr:colOff>
      <xdr:row>59</xdr:row>
      <xdr:rowOff>161262</xdr:rowOff>
    </xdr:to>
    <xdr:pic>
      <xdr:nvPicPr>
        <xdr:cNvPr id="2" name="Picture 1">
          <a:extLst>
            <a:ext uri="{FF2B5EF4-FFF2-40B4-BE49-F238E27FC236}">
              <a16:creationId xmlns:a16="http://schemas.microsoft.com/office/drawing/2014/main" id="{82E5088C-89F4-454F-B526-A792BF7B1302}"/>
            </a:ext>
          </a:extLst>
        </xdr:cNvPr>
        <xdr:cNvPicPr>
          <a:picLocks noChangeAspect="1"/>
        </xdr:cNvPicPr>
      </xdr:nvPicPr>
      <xdr:blipFill>
        <a:blip xmlns:r="http://schemas.openxmlformats.org/officeDocument/2006/relationships" r:embed="rId1"/>
        <a:stretch>
          <a:fillRect/>
        </a:stretch>
      </xdr:blipFill>
      <xdr:spPr>
        <a:xfrm>
          <a:off x="0" y="6949440"/>
          <a:ext cx="8489553" cy="5099022"/>
        </a:xfrm>
        <a:prstGeom prst="rect">
          <a:avLst/>
        </a:prstGeom>
      </xdr:spPr>
    </xdr:pic>
    <xdr:clientData/>
  </xdr:twoCellAnchor>
  <xdr:twoCellAnchor editAs="oneCell">
    <xdr:from>
      <xdr:col>0</xdr:col>
      <xdr:colOff>0</xdr:colOff>
      <xdr:row>60</xdr:row>
      <xdr:rowOff>0</xdr:rowOff>
    </xdr:from>
    <xdr:to>
      <xdr:col>9</xdr:col>
      <xdr:colOff>288529</xdr:colOff>
      <xdr:row>68</xdr:row>
      <xdr:rowOff>56952</xdr:rowOff>
    </xdr:to>
    <xdr:pic>
      <xdr:nvPicPr>
        <xdr:cNvPr id="3" name="Picture 2">
          <a:extLst>
            <a:ext uri="{FF2B5EF4-FFF2-40B4-BE49-F238E27FC236}">
              <a16:creationId xmlns:a16="http://schemas.microsoft.com/office/drawing/2014/main" id="{B7C21E49-190E-4DEC-9D20-F5A700764D7D}"/>
            </a:ext>
          </a:extLst>
        </xdr:cNvPr>
        <xdr:cNvPicPr>
          <a:picLocks noChangeAspect="1"/>
        </xdr:cNvPicPr>
      </xdr:nvPicPr>
      <xdr:blipFill>
        <a:blip xmlns:r="http://schemas.openxmlformats.org/officeDocument/2006/relationships" r:embed="rId2"/>
        <a:stretch>
          <a:fillRect/>
        </a:stretch>
      </xdr:blipFill>
      <xdr:spPr>
        <a:xfrm>
          <a:off x="0" y="12070080"/>
          <a:ext cx="8480029" cy="1519992"/>
        </a:xfrm>
        <a:prstGeom prst="rect">
          <a:avLst/>
        </a:prstGeom>
      </xdr:spPr>
    </xdr:pic>
    <xdr:clientData/>
  </xdr:twoCellAnchor>
  <xdr:twoCellAnchor editAs="oneCell">
    <xdr:from>
      <xdr:col>0</xdr:col>
      <xdr:colOff>0</xdr:colOff>
      <xdr:row>76</xdr:row>
      <xdr:rowOff>0</xdr:rowOff>
    </xdr:from>
    <xdr:to>
      <xdr:col>11</xdr:col>
      <xdr:colOff>2665</xdr:colOff>
      <xdr:row>103</xdr:row>
      <xdr:rowOff>27929</xdr:rowOff>
    </xdr:to>
    <xdr:pic>
      <xdr:nvPicPr>
        <xdr:cNvPr id="4" name="Picture 3">
          <a:extLst>
            <a:ext uri="{FF2B5EF4-FFF2-40B4-BE49-F238E27FC236}">
              <a16:creationId xmlns:a16="http://schemas.microsoft.com/office/drawing/2014/main" id="{13871CE5-3E84-4141-B3F0-E44C9157D022}"/>
            </a:ext>
          </a:extLst>
        </xdr:cNvPr>
        <xdr:cNvPicPr>
          <a:picLocks noChangeAspect="1"/>
        </xdr:cNvPicPr>
      </xdr:nvPicPr>
      <xdr:blipFill>
        <a:blip xmlns:r="http://schemas.openxmlformats.org/officeDocument/2006/relationships" r:embed="rId3"/>
        <a:stretch>
          <a:fillRect/>
        </a:stretch>
      </xdr:blipFill>
      <xdr:spPr>
        <a:xfrm>
          <a:off x="0" y="14996160"/>
          <a:ext cx="9394315" cy="4965689"/>
        </a:xfrm>
        <a:prstGeom prst="rect">
          <a:avLst/>
        </a:prstGeom>
      </xdr:spPr>
    </xdr:pic>
    <xdr:clientData/>
  </xdr:twoCellAnchor>
  <xdr:twoCellAnchor editAs="oneCell">
    <xdr:from>
      <xdr:col>0</xdr:col>
      <xdr:colOff>0</xdr:colOff>
      <xdr:row>108</xdr:row>
      <xdr:rowOff>0</xdr:rowOff>
    </xdr:from>
    <xdr:to>
      <xdr:col>10</xdr:col>
      <xdr:colOff>250358</xdr:colOff>
      <xdr:row>133</xdr:row>
      <xdr:rowOff>182261</xdr:rowOff>
    </xdr:to>
    <xdr:pic>
      <xdr:nvPicPr>
        <xdr:cNvPr id="5" name="Picture 4">
          <a:extLst>
            <a:ext uri="{FF2B5EF4-FFF2-40B4-BE49-F238E27FC236}">
              <a16:creationId xmlns:a16="http://schemas.microsoft.com/office/drawing/2014/main" id="{C9B8CC4C-2E58-4E03-ADC8-58216197E875}"/>
            </a:ext>
          </a:extLst>
        </xdr:cNvPr>
        <xdr:cNvPicPr>
          <a:picLocks noChangeAspect="1"/>
        </xdr:cNvPicPr>
      </xdr:nvPicPr>
      <xdr:blipFill>
        <a:blip xmlns:r="http://schemas.openxmlformats.org/officeDocument/2006/relationships" r:embed="rId4"/>
        <a:stretch>
          <a:fillRect/>
        </a:stretch>
      </xdr:blipFill>
      <xdr:spPr>
        <a:xfrm>
          <a:off x="0" y="20848320"/>
          <a:ext cx="9051458" cy="4754261"/>
        </a:xfrm>
        <a:prstGeom prst="rect">
          <a:avLst/>
        </a:prstGeom>
      </xdr:spPr>
    </xdr:pic>
    <xdr:clientData/>
  </xdr:twoCellAnchor>
  <xdr:twoCellAnchor editAs="oneCell">
    <xdr:from>
      <xdr:col>0</xdr:col>
      <xdr:colOff>0</xdr:colOff>
      <xdr:row>138</xdr:row>
      <xdr:rowOff>0</xdr:rowOff>
    </xdr:from>
    <xdr:to>
      <xdr:col>4</xdr:col>
      <xdr:colOff>248994</xdr:colOff>
      <xdr:row>152</xdr:row>
      <xdr:rowOff>161571</xdr:rowOff>
    </xdr:to>
    <xdr:pic>
      <xdr:nvPicPr>
        <xdr:cNvPr id="6" name="Picture 5">
          <a:extLst>
            <a:ext uri="{FF2B5EF4-FFF2-40B4-BE49-F238E27FC236}">
              <a16:creationId xmlns:a16="http://schemas.microsoft.com/office/drawing/2014/main" id="{BA5C9468-FD6D-45B4-B269-DB88D5859258}"/>
            </a:ext>
          </a:extLst>
        </xdr:cNvPr>
        <xdr:cNvPicPr>
          <a:picLocks noChangeAspect="1"/>
        </xdr:cNvPicPr>
      </xdr:nvPicPr>
      <xdr:blipFill>
        <a:blip xmlns:r="http://schemas.openxmlformats.org/officeDocument/2006/relationships" r:embed="rId5"/>
        <a:stretch>
          <a:fillRect/>
        </a:stretch>
      </xdr:blipFill>
      <xdr:spPr>
        <a:xfrm>
          <a:off x="0" y="26334720"/>
          <a:ext cx="4485714" cy="2721891"/>
        </a:xfrm>
        <a:prstGeom prst="rect">
          <a:avLst/>
        </a:prstGeom>
      </xdr:spPr>
    </xdr:pic>
    <xdr:clientData/>
  </xdr:twoCellAnchor>
  <xdr:twoCellAnchor editAs="oneCell">
    <xdr:from>
      <xdr:col>0</xdr:col>
      <xdr:colOff>0</xdr:colOff>
      <xdr:row>156</xdr:row>
      <xdr:rowOff>0</xdr:rowOff>
    </xdr:from>
    <xdr:to>
      <xdr:col>11</xdr:col>
      <xdr:colOff>316948</xdr:colOff>
      <xdr:row>187</xdr:row>
      <xdr:rowOff>84976</xdr:rowOff>
    </xdr:to>
    <xdr:pic>
      <xdr:nvPicPr>
        <xdr:cNvPr id="7" name="Picture 6">
          <a:extLst>
            <a:ext uri="{FF2B5EF4-FFF2-40B4-BE49-F238E27FC236}">
              <a16:creationId xmlns:a16="http://schemas.microsoft.com/office/drawing/2014/main" id="{5AB44B20-A1FC-4486-ABC7-AA3A4923CAF2}"/>
            </a:ext>
          </a:extLst>
        </xdr:cNvPr>
        <xdr:cNvPicPr>
          <a:picLocks noChangeAspect="1"/>
        </xdr:cNvPicPr>
      </xdr:nvPicPr>
      <xdr:blipFill>
        <a:blip xmlns:r="http://schemas.openxmlformats.org/officeDocument/2006/relationships" r:embed="rId6"/>
        <a:stretch>
          <a:fillRect/>
        </a:stretch>
      </xdr:blipFill>
      <xdr:spPr>
        <a:xfrm>
          <a:off x="0" y="29626560"/>
          <a:ext cx="9727648" cy="5754256"/>
        </a:xfrm>
        <a:prstGeom prst="rect">
          <a:avLst/>
        </a:prstGeom>
      </xdr:spPr>
    </xdr:pic>
    <xdr:clientData/>
  </xdr:twoCellAnchor>
  <xdr:twoCellAnchor editAs="oneCell">
    <xdr:from>
      <xdr:col>0</xdr:col>
      <xdr:colOff>0</xdr:colOff>
      <xdr:row>197</xdr:row>
      <xdr:rowOff>0</xdr:rowOff>
    </xdr:from>
    <xdr:to>
      <xdr:col>5</xdr:col>
      <xdr:colOff>434340</xdr:colOff>
      <xdr:row>219</xdr:row>
      <xdr:rowOff>104775</xdr:rowOff>
    </xdr:to>
    <xdr:pic>
      <xdr:nvPicPr>
        <xdr:cNvPr id="8" name="Picture 7">
          <a:extLst>
            <a:ext uri="{FF2B5EF4-FFF2-40B4-BE49-F238E27FC236}">
              <a16:creationId xmlns:a16="http://schemas.microsoft.com/office/drawing/2014/main" id="{78EA26F9-C080-4791-B61C-85F8DE4FA9A0}"/>
            </a:ext>
          </a:extLst>
        </xdr:cNvPr>
        <xdr:cNvPicPr>
          <a:picLocks noChangeAspect="1"/>
        </xdr:cNvPicPr>
      </xdr:nvPicPr>
      <xdr:blipFill>
        <a:blip xmlns:r="http://schemas.openxmlformats.org/officeDocument/2006/relationships" r:embed="rId7"/>
        <a:stretch>
          <a:fillRect/>
        </a:stretch>
      </xdr:blipFill>
      <xdr:spPr>
        <a:xfrm>
          <a:off x="0" y="37124640"/>
          <a:ext cx="5600700" cy="4128135"/>
        </a:xfrm>
        <a:prstGeom prst="rect">
          <a:avLst/>
        </a:prstGeom>
      </xdr:spPr>
    </xdr:pic>
    <xdr:clientData/>
  </xdr:twoCellAnchor>
  <xdr:twoCellAnchor editAs="oneCell">
    <xdr:from>
      <xdr:col>0</xdr:col>
      <xdr:colOff>0</xdr:colOff>
      <xdr:row>223</xdr:row>
      <xdr:rowOff>0</xdr:rowOff>
    </xdr:from>
    <xdr:to>
      <xdr:col>5</xdr:col>
      <xdr:colOff>252688</xdr:colOff>
      <xdr:row>245</xdr:row>
      <xdr:rowOff>85190</xdr:rowOff>
    </xdr:to>
    <xdr:pic>
      <xdr:nvPicPr>
        <xdr:cNvPr id="9" name="Picture 8">
          <a:extLst>
            <a:ext uri="{FF2B5EF4-FFF2-40B4-BE49-F238E27FC236}">
              <a16:creationId xmlns:a16="http://schemas.microsoft.com/office/drawing/2014/main" id="{1C59A3B8-E16A-4A10-A0E3-49F8EEB83934}"/>
            </a:ext>
          </a:extLst>
        </xdr:cNvPr>
        <xdr:cNvPicPr>
          <a:picLocks noChangeAspect="1"/>
        </xdr:cNvPicPr>
      </xdr:nvPicPr>
      <xdr:blipFill>
        <a:blip xmlns:r="http://schemas.openxmlformats.org/officeDocument/2006/relationships" r:embed="rId8"/>
        <a:stretch>
          <a:fillRect/>
        </a:stretch>
      </xdr:blipFill>
      <xdr:spPr>
        <a:xfrm>
          <a:off x="0" y="41879520"/>
          <a:ext cx="5419048" cy="410855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7</xdr:row>
      <xdr:rowOff>0</xdr:rowOff>
    </xdr:from>
    <xdr:to>
      <xdr:col>7</xdr:col>
      <xdr:colOff>513264</xdr:colOff>
      <xdr:row>37</xdr:row>
      <xdr:rowOff>37381</xdr:rowOff>
    </xdr:to>
    <xdr:pic>
      <xdr:nvPicPr>
        <xdr:cNvPr id="2" name="Picture 1">
          <a:extLst>
            <a:ext uri="{FF2B5EF4-FFF2-40B4-BE49-F238E27FC236}">
              <a16:creationId xmlns:a16="http://schemas.microsoft.com/office/drawing/2014/main" id="{F40530C6-0BC4-4314-80F3-24CAEDB2FC2B}"/>
            </a:ext>
          </a:extLst>
        </xdr:cNvPr>
        <xdr:cNvPicPr>
          <a:picLocks noChangeAspect="1"/>
        </xdr:cNvPicPr>
      </xdr:nvPicPr>
      <xdr:blipFill>
        <a:blip xmlns:r="http://schemas.openxmlformats.org/officeDocument/2006/relationships" r:embed="rId1"/>
        <a:stretch>
          <a:fillRect/>
        </a:stretch>
      </xdr:blipFill>
      <xdr:spPr>
        <a:xfrm>
          <a:off x="0" y="1280160"/>
          <a:ext cx="8918124" cy="552378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B78AD-486A-48A2-9BB8-BAF95F1A7757}">
  <dimension ref="B3:B11"/>
  <sheetViews>
    <sheetView tabSelected="1" workbookViewId="0">
      <selection activeCell="B11" sqref="B11"/>
    </sheetView>
  </sheetViews>
  <sheetFormatPr defaultRowHeight="15" x14ac:dyDescent="0.25"/>
  <cols>
    <col min="2" max="2" width="112.7109375" style="29" customWidth="1"/>
  </cols>
  <sheetData>
    <row r="3" spans="2:2" ht="19.5" x14ac:dyDescent="0.25">
      <c r="B3" s="33" t="s">
        <v>159</v>
      </c>
    </row>
    <row r="4" spans="2:2" ht="45" x14ac:dyDescent="0.25">
      <c r="B4" s="29" t="s">
        <v>154</v>
      </c>
    </row>
    <row r="6" spans="2:2" x14ac:dyDescent="0.25">
      <c r="B6" s="29" t="s">
        <v>155</v>
      </c>
    </row>
    <row r="8" spans="2:2" x14ac:dyDescent="0.25">
      <c r="B8" s="29" t="s">
        <v>156</v>
      </c>
    </row>
    <row r="11" spans="2:2" x14ac:dyDescent="0.25">
      <c r="B11" s="34" t="s">
        <v>158</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D5622-A8CA-4D95-8B6F-463158C4AAE1}">
  <dimension ref="A1:B47"/>
  <sheetViews>
    <sheetView workbookViewId="0">
      <selection activeCell="A41" sqref="A41"/>
    </sheetView>
  </sheetViews>
  <sheetFormatPr defaultRowHeight="15" x14ac:dyDescent="0.25"/>
  <cols>
    <col min="1" max="1" width="69.28515625" style="12" customWidth="1"/>
  </cols>
  <sheetData>
    <row r="1" spans="1:1" x14ac:dyDescent="0.25">
      <c r="A1" s="11" t="s">
        <v>124</v>
      </c>
    </row>
    <row r="2" spans="1:1" x14ac:dyDescent="0.25">
      <c r="A2" s="11" t="s">
        <v>125</v>
      </c>
    </row>
    <row r="3" spans="1:1" x14ac:dyDescent="0.25">
      <c r="A3" s="11" t="s">
        <v>126</v>
      </c>
    </row>
    <row r="4" spans="1:1" x14ac:dyDescent="0.25">
      <c r="A4" s="11" t="s">
        <v>127</v>
      </c>
    </row>
    <row r="5" spans="1:1" x14ac:dyDescent="0.25">
      <c r="A5" s="11" t="s">
        <v>128</v>
      </c>
    </row>
    <row r="6" spans="1:1" x14ac:dyDescent="0.25">
      <c r="A6" s="11" t="s">
        <v>129</v>
      </c>
    </row>
    <row r="39" spans="1:2" x14ac:dyDescent="0.25">
      <c r="A39" s="13" t="s">
        <v>136</v>
      </c>
    </row>
    <row r="40" spans="1:2" x14ac:dyDescent="0.25">
      <c r="A40"/>
      <c r="B40" t="s">
        <v>137</v>
      </c>
    </row>
    <row r="41" spans="1:2" x14ac:dyDescent="0.25">
      <c r="A41" t="s">
        <v>130</v>
      </c>
      <c r="B41">
        <f>POWER(1900*0.75/3.14,0.333)</f>
        <v>7.6690713275064439</v>
      </c>
    </row>
    <row r="42" spans="1:2" x14ac:dyDescent="0.25">
      <c r="A42" t="s">
        <v>131</v>
      </c>
      <c r="B42">
        <v>1900</v>
      </c>
    </row>
    <row r="43" spans="1:2" x14ac:dyDescent="0.25">
      <c r="A43" t="s">
        <v>132</v>
      </c>
      <c r="B43">
        <v>10</v>
      </c>
    </row>
    <row r="44" spans="1:2" x14ac:dyDescent="0.25">
      <c r="A44" t="s">
        <v>133</v>
      </c>
      <c r="B44">
        <f>3.14*23*23-3.14*13*13</f>
        <v>1130.4000000000001</v>
      </c>
    </row>
    <row r="45" spans="1:2" x14ac:dyDescent="0.25">
      <c r="A45" t="s">
        <v>134</v>
      </c>
      <c r="B45">
        <f>B44*1000/280</f>
        <v>4037.1428571428573</v>
      </c>
    </row>
    <row r="46" spans="1:2" x14ac:dyDescent="0.25">
      <c r="A46" t="s">
        <v>135</v>
      </c>
      <c r="B46">
        <v>683</v>
      </c>
    </row>
    <row r="47" spans="1:2" x14ac:dyDescent="0.25">
      <c r="A47" t="s">
        <v>136</v>
      </c>
      <c r="B47">
        <f>683*1900/B45</f>
        <v>321.44019815994335</v>
      </c>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B6B9D-17DE-4441-A230-899D93E0269E}">
  <dimension ref="A1:Q225"/>
  <sheetViews>
    <sheetView topLeftCell="C1" workbookViewId="0">
      <selection activeCell="H3" sqref="H3"/>
    </sheetView>
  </sheetViews>
  <sheetFormatPr defaultRowHeight="15" x14ac:dyDescent="0.25"/>
  <cols>
    <col min="1" max="1" width="23.7109375" customWidth="1"/>
    <col min="3" max="4" width="14.5703125" customWidth="1"/>
    <col min="5" max="5" width="13.5703125" style="5" customWidth="1"/>
    <col min="6" max="6" width="17.42578125" style="7" customWidth="1"/>
    <col min="7" max="7" width="13.7109375" customWidth="1"/>
    <col min="8" max="8" width="13.5703125" style="8" customWidth="1"/>
    <col min="9" max="10" width="8.85546875" style="8"/>
    <col min="11" max="11" width="16.140625" style="1" customWidth="1"/>
    <col min="12" max="12" width="17.28515625" style="6" customWidth="1"/>
    <col min="13" max="13" width="18" customWidth="1"/>
    <col min="14" max="14" width="15.7109375" style="8" customWidth="1"/>
    <col min="15" max="15" width="12" customWidth="1"/>
    <col min="16" max="16" width="12.42578125" customWidth="1"/>
  </cols>
  <sheetData>
    <row r="1" spans="1:17" x14ac:dyDescent="0.25">
      <c r="E1" s="1"/>
    </row>
    <row r="2" spans="1:17" ht="45" customHeight="1" x14ac:dyDescent="0.25">
      <c r="E2" s="1" t="s">
        <v>140</v>
      </c>
      <c r="F2" s="6" t="s">
        <v>141</v>
      </c>
      <c r="G2" s="1" t="s">
        <v>139</v>
      </c>
      <c r="H2" s="1" t="s">
        <v>142</v>
      </c>
      <c r="K2" s="1" t="s">
        <v>143</v>
      </c>
      <c r="L2" s="6" t="s">
        <v>144</v>
      </c>
      <c r="M2" s="1" t="s">
        <v>145</v>
      </c>
      <c r="N2" s="1" t="s">
        <v>146</v>
      </c>
    </row>
    <row r="3" spans="1:17" x14ac:dyDescent="0.25">
      <c r="A3" t="s">
        <v>138</v>
      </c>
      <c r="E3" s="5">
        <v>133</v>
      </c>
      <c r="F3" s="7">
        <f>B6*E3</f>
        <v>5054000</v>
      </c>
      <c r="G3" s="14">
        <f>F3/(F3+F27)</f>
        <v>2.398867568950469E-2</v>
      </c>
      <c r="H3" s="8">
        <f>G3*100</f>
        <v>2.398867568950469</v>
      </c>
      <c r="K3" s="1">
        <v>321</v>
      </c>
      <c r="L3" s="15">
        <f>321*F3/1000</f>
        <v>1622334</v>
      </c>
      <c r="M3" s="10">
        <f>L3/(L3+L27)</f>
        <v>1.5104918639512003E-2</v>
      </c>
      <c r="N3" s="8">
        <f>M3*100</f>
        <v>1.5104918639512002</v>
      </c>
    </row>
    <row r="5" spans="1:17" ht="60" x14ac:dyDescent="0.25">
      <c r="A5" s="1" t="s">
        <v>0</v>
      </c>
      <c r="B5" s="1" t="s">
        <v>1</v>
      </c>
      <c r="C5" s="1" t="s">
        <v>74</v>
      </c>
      <c r="D5" s="1" t="s">
        <v>73</v>
      </c>
      <c r="E5" s="1" t="s">
        <v>75</v>
      </c>
      <c r="F5" s="6" t="s">
        <v>101</v>
      </c>
      <c r="G5" s="1" t="s">
        <v>103</v>
      </c>
      <c r="H5" s="9" t="s">
        <v>104</v>
      </c>
      <c r="I5"/>
      <c r="J5" s="9" t="s">
        <v>104</v>
      </c>
      <c r="K5" s="1" t="s">
        <v>112</v>
      </c>
      <c r="L5" s="6" t="s">
        <v>117</v>
      </c>
      <c r="M5" s="1" t="s">
        <v>118</v>
      </c>
      <c r="N5" s="9" t="s">
        <v>119</v>
      </c>
      <c r="O5" s="1" t="s">
        <v>0</v>
      </c>
      <c r="Q5" s="9" t="s">
        <v>119</v>
      </c>
    </row>
    <row r="6" spans="1:17" x14ac:dyDescent="0.25">
      <c r="A6" t="s">
        <v>2</v>
      </c>
      <c r="B6">
        <v>38000</v>
      </c>
      <c r="C6">
        <f>10.1*0.45</f>
        <v>4.5449999999999999</v>
      </c>
      <c r="D6" s="3">
        <f>B6*C6</f>
        <v>172710</v>
      </c>
      <c r="E6" s="5">
        <v>280</v>
      </c>
      <c r="F6" s="7">
        <f>D6*E6</f>
        <v>48358800</v>
      </c>
      <c r="G6">
        <f>F6/$F$28</f>
        <v>0.23517529333418596</v>
      </c>
      <c r="H6" s="8">
        <f>100*G6</f>
        <v>23.517529333418597</v>
      </c>
      <c r="I6"/>
      <c r="J6"/>
      <c r="K6" s="1">
        <v>191.25</v>
      </c>
      <c r="L6" s="6">
        <f>D6*K6</f>
        <v>33030787.5</v>
      </c>
      <c r="M6" s="10">
        <f>L6/$L$28</f>
        <v>0.31225333089008256</v>
      </c>
      <c r="N6" s="8">
        <f>M6*100</f>
        <v>31.225333089008256</v>
      </c>
      <c r="O6" t="s">
        <v>120</v>
      </c>
    </row>
    <row r="7" spans="1:17" x14ac:dyDescent="0.25">
      <c r="A7" t="s">
        <v>3</v>
      </c>
      <c r="B7">
        <v>38000</v>
      </c>
      <c r="C7">
        <v>4.5449999999999999</v>
      </c>
      <c r="D7" s="3">
        <f t="shared" ref="D7:D10" si="0">B7*C7</f>
        <v>172710</v>
      </c>
      <c r="E7" s="5">
        <v>280</v>
      </c>
      <c r="F7" s="7">
        <f t="shared" ref="F7:F25" si="1">D7*E7</f>
        <v>48358800</v>
      </c>
      <c r="G7">
        <f t="shared" ref="G7:G25" si="2">F7/$F$28</f>
        <v>0.23517529333418596</v>
      </c>
      <c r="H7" s="8">
        <f t="shared" ref="H7:H25" si="3">100*G7</f>
        <v>23.517529333418597</v>
      </c>
      <c r="I7"/>
      <c r="J7"/>
      <c r="K7" s="1">
        <v>191.25</v>
      </c>
      <c r="L7" s="6">
        <f t="shared" ref="L7:L25" si="4">D7*K7</f>
        <v>33030787.5</v>
      </c>
      <c r="M7" s="10">
        <f t="shared" ref="M7:M25" si="5">L7/$L$28</f>
        <v>0.31225333089008256</v>
      </c>
      <c r="N7" s="8">
        <f t="shared" ref="N7:N25" si="6">M7*100</f>
        <v>31.225333089008256</v>
      </c>
      <c r="O7" t="s">
        <v>121</v>
      </c>
    </row>
    <row r="8" spans="1:17" x14ac:dyDescent="0.25">
      <c r="A8" t="s">
        <v>4</v>
      </c>
      <c r="B8">
        <v>38000</v>
      </c>
      <c r="C8">
        <v>1.01</v>
      </c>
      <c r="D8" s="3">
        <f t="shared" si="0"/>
        <v>38380</v>
      </c>
      <c r="E8" s="5">
        <v>280</v>
      </c>
      <c r="F8" s="7">
        <f t="shared" si="1"/>
        <v>10746400</v>
      </c>
      <c r="G8">
        <f t="shared" si="2"/>
        <v>5.2261176296485766E-2</v>
      </c>
      <c r="H8" s="8">
        <f t="shared" si="3"/>
        <v>5.2261176296485763</v>
      </c>
      <c r="I8" t="s">
        <v>105</v>
      </c>
      <c r="J8" s="8">
        <f>SUM(H6:H8)</f>
        <v>52.261176296485772</v>
      </c>
      <c r="K8" s="1">
        <v>191.25</v>
      </c>
      <c r="L8" s="6">
        <f t="shared" si="4"/>
        <v>7340175</v>
      </c>
      <c r="M8" s="10">
        <f t="shared" si="5"/>
        <v>6.9389629086685015E-2</v>
      </c>
      <c r="N8" s="8">
        <f t="shared" si="6"/>
        <v>6.9389629086685014</v>
      </c>
      <c r="O8" t="s">
        <v>122</v>
      </c>
      <c r="P8" t="s">
        <v>105</v>
      </c>
      <c r="Q8" s="8">
        <f>SUM(N6:N8)</f>
        <v>69.389629086685019</v>
      </c>
    </row>
    <row r="9" spans="1:17" x14ac:dyDescent="0.25">
      <c r="A9" t="s">
        <v>5</v>
      </c>
      <c r="B9">
        <f>0.71*B8</f>
        <v>26980</v>
      </c>
      <c r="C9">
        <v>1.5</v>
      </c>
      <c r="D9" s="3">
        <f t="shared" si="0"/>
        <v>40470</v>
      </c>
      <c r="E9" s="5">
        <v>100</v>
      </c>
      <c r="F9" s="7">
        <f t="shared" si="1"/>
        <v>4047000</v>
      </c>
      <c r="G9">
        <f t="shared" si="2"/>
        <v>1.9681100691569076E-2</v>
      </c>
      <c r="H9" s="8">
        <f t="shared" si="3"/>
        <v>1.9681100691569076</v>
      </c>
      <c r="I9"/>
      <c r="J9"/>
      <c r="K9" s="1">
        <v>37</v>
      </c>
      <c r="L9" s="6">
        <f t="shared" si="4"/>
        <v>1497390</v>
      </c>
      <c r="M9" s="10">
        <f t="shared" si="5"/>
        <v>1.4155430449289189E-2</v>
      </c>
      <c r="N9" s="8">
        <f t="shared" si="6"/>
        <v>1.415543044928919</v>
      </c>
      <c r="O9" t="s">
        <v>5</v>
      </c>
    </row>
    <row r="10" spans="1:17" x14ac:dyDescent="0.25">
      <c r="A10" t="s">
        <v>6</v>
      </c>
      <c r="B10">
        <v>11020</v>
      </c>
      <c r="C10">
        <v>2</v>
      </c>
      <c r="D10" s="3">
        <f t="shared" si="0"/>
        <v>22040</v>
      </c>
      <c r="E10" s="5">
        <v>150</v>
      </c>
      <c r="F10" s="7">
        <f t="shared" si="1"/>
        <v>3306000</v>
      </c>
      <c r="G10">
        <f t="shared" si="2"/>
        <v>1.6077518874802906E-2</v>
      </c>
      <c r="H10" s="8">
        <f t="shared" si="3"/>
        <v>1.6077518874802905</v>
      </c>
      <c r="I10"/>
      <c r="J10"/>
      <c r="K10" s="1">
        <v>37</v>
      </c>
      <c r="L10" s="6">
        <f t="shared" si="4"/>
        <v>815480</v>
      </c>
      <c r="M10" s="10">
        <f t="shared" si="5"/>
        <v>7.7090607141668821E-3</v>
      </c>
      <c r="N10" s="8">
        <f t="shared" si="6"/>
        <v>0.77090607141668821</v>
      </c>
      <c r="O10" t="s">
        <v>6</v>
      </c>
    </row>
    <row r="11" spans="1:17" x14ac:dyDescent="0.25">
      <c r="A11" t="s">
        <v>7</v>
      </c>
      <c r="B11">
        <v>11020</v>
      </c>
      <c r="C11" t="s">
        <v>56</v>
      </c>
      <c r="D11" s="3">
        <v>14510</v>
      </c>
      <c r="E11" s="5">
        <v>125</v>
      </c>
      <c r="F11" s="7">
        <f t="shared" si="1"/>
        <v>1813750</v>
      </c>
      <c r="G11">
        <f t="shared" si="2"/>
        <v>8.8205081243719809E-3</v>
      </c>
      <c r="H11" s="8">
        <f t="shared" si="3"/>
        <v>0.88205081243719807</v>
      </c>
      <c r="I11"/>
      <c r="J11"/>
      <c r="K11" s="1">
        <v>37</v>
      </c>
      <c r="L11" s="6">
        <f t="shared" si="4"/>
        <v>536870</v>
      </c>
      <c r="M11" s="10">
        <f t="shared" si="5"/>
        <v>5.0752482287913549E-3</v>
      </c>
      <c r="N11" s="8">
        <f t="shared" si="6"/>
        <v>0.50752482287913547</v>
      </c>
      <c r="O11" t="s">
        <v>7</v>
      </c>
    </row>
    <row r="12" spans="1:17" x14ac:dyDescent="0.25">
      <c r="A12" t="s">
        <v>8</v>
      </c>
      <c r="B12">
        <v>11020</v>
      </c>
      <c r="C12" t="s">
        <v>56</v>
      </c>
      <c r="D12" s="3">
        <v>20020</v>
      </c>
      <c r="E12" s="5">
        <v>150</v>
      </c>
      <c r="F12" s="7">
        <f t="shared" si="1"/>
        <v>3003000</v>
      </c>
      <c r="G12">
        <f t="shared" si="2"/>
        <v>1.4603989467947104E-2</v>
      </c>
      <c r="H12" s="8">
        <f t="shared" si="3"/>
        <v>1.4603989467947105</v>
      </c>
      <c r="I12" t="s">
        <v>106</v>
      </c>
      <c r="J12" s="8">
        <f>SUM(H9:H12)</f>
        <v>5.9183117158691072</v>
      </c>
      <c r="K12" s="1">
        <v>37</v>
      </c>
      <c r="L12" s="6">
        <f t="shared" si="4"/>
        <v>740740</v>
      </c>
      <c r="M12" s="10">
        <f t="shared" si="5"/>
        <v>7.0025134073330754E-3</v>
      </c>
      <c r="N12" s="8">
        <f t="shared" si="6"/>
        <v>0.70025134073330753</v>
      </c>
      <c r="O12" t="s">
        <v>8</v>
      </c>
      <c r="P12" t="s">
        <v>106</v>
      </c>
      <c r="Q12" s="8">
        <f>SUM(N9:N12)</f>
        <v>3.3942252799580506</v>
      </c>
    </row>
    <row r="13" spans="1:17" x14ac:dyDescent="0.25">
      <c r="A13" t="s">
        <v>9</v>
      </c>
      <c r="B13">
        <v>38000</v>
      </c>
      <c r="C13">
        <v>1.5</v>
      </c>
      <c r="D13" s="3">
        <f>B13*C13</f>
        <v>57000</v>
      </c>
      <c r="E13" s="5">
        <v>311</v>
      </c>
      <c r="F13" s="7">
        <f t="shared" si="1"/>
        <v>17727000</v>
      </c>
      <c r="G13">
        <f t="shared" si="2"/>
        <v>8.6208765001098336E-2</v>
      </c>
      <c r="H13" s="8">
        <f t="shared" si="3"/>
        <v>8.6208765001098335</v>
      </c>
      <c r="I13"/>
      <c r="J13"/>
      <c r="K13" s="1">
        <v>125</v>
      </c>
      <c r="L13" s="6">
        <f t="shared" si="4"/>
        <v>7125000</v>
      </c>
      <c r="M13" s="10">
        <f t="shared" si="5"/>
        <v>6.735549319227821E-2</v>
      </c>
      <c r="N13" s="8">
        <f t="shared" si="6"/>
        <v>6.7355493192278209</v>
      </c>
      <c r="O13" t="s">
        <v>9</v>
      </c>
    </row>
    <row r="14" spans="1:17" x14ac:dyDescent="0.25">
      <c r="A14" t="s">
        <v>10</v>
      </c>
      <c r="B14">
        <v>38000</v>
      </c>
      <c r="C14">
        <v>1.7</v>
      </c>
      <c r="D14" s="3">
        <f t="shared" ref="D14:D24" si="7">B14*C14</f>
        <v>64600</v>
      </c>
      <c r="E14" s="5">
        <v>275</v>
      </c>
      <c r="F14" s="7">
        <f t="shared" si="1"/>
        <v>17765000</v>
      </c>
      <c r="G14">
        <f t="shared" si="2"/>
        <v>8.6393564068624806E-2</v>
      </c>
      <c r="H14" s="8">
        <f t="shared" si="3"/>
        <v>8.6393564068624809</v>
      </c>
      <c r="I14" t="s">
        <v>107</v>
      </c>
      <c r="J14" s="8">
        <f>SUM(H13:H14)</f>
        <v>17.260232906972313</v>
      </c>
      <c r="K14" s="1">
        <v>79</v>
      </c>
      <c r="L14" s="6">
        <f t="shared" si="4"/>
        <v>5103400</v>
      </c>
      <c r="M14" s="10">
        <f t="shared" si="5"/>
        <v>4.824449459052247E-2</v>
      </c>
      <c r="N14" s="8">
        <f t="shared" si="6"/>
        <v>4.8244494590522473</v>
      </c>
      <c r="O14" t="s">
        <v>10</v>
      </c>
      <c r="P14" t="s">
        <v>107</v>
      </c>
      <c r="Q14" s="8">
        <f>SUM(N13:N14)</f>
        <v>11.559998778280068</v>
      </c>
    </row>
    <row r="15" spans="1:17" x14ac:dyDescent="0.25">
      <c r="A15" t="s">
        <v>11</v>
      </c>
      <c r="B15">
        <v>38000</v>
      </c>
      <c r="C15">
        <v>1.4</v>
      </c>
      <c r="D15" s="3">
        <f t="shared" si="7"/>
        <v>53200</v>
      </c>
      <c r="E15" s="5">
        <v>374</v>
      </c>
      <c r="F15" s="7">
        <f t="shared" si="1"/>
        <v>19896800</v>
      </c>
      <c r="G15">
        <f t="shared" si="2"/>
        <v>9.6760791756859782E-2</v>
      </c>
      <c r="H15" s="8">
        <f t="shared" si="3"/>
        <v>9.6760791756859774</v>
      </c>
      <c r="I15" t="s">
        <v>108</v>
      </c>
      <c r="J15" s="8">
        <v>9.6760791756859774</v>
      </c>
      <c r="K15" s="1">
        <v>159</v>
      </c>
      <c r="L15" s="6">
        <f t="shared" si="4"/>
        <v>8458800</v>
      </c>
      <c r="M15" s="10">
        <f t="shared" si="5"/>
        <v>7.9964441517872686E-2</v>
      </c>
      <c r="N15" s="8">
        <f t="shared" si="6"/>
        <v>7.9964441517872684</v>
      </c>
      <c r="O15" t="s">
        <v>11</v>
      </c>
      <c r="P15" t="s">
        <v>108</v>
      </c>
      <c r="Q15" s="8">
        <v>7.9964441517872684</v>
      </c>
    </row>
    <row r="16" spans="1:17" x14ac:dyDescent="0.25">
      <c r="A16" t="s">
        <v>12</v>
      </c>
      <c r="B16">
        <v>6333</v>
      </c>
      <c r="C16">
        <v>4.2</v>
      </c>
      <c r="D16" s="3">
        <f t="shared" si="7"/>
        <v>26598.600000000002</v>
      </c>
      <c r="E16" s="5">
        <v>262.8</v>
      </c>
      <c r="F16" s="7">
        <f t="shared" si="1"/>
        <v>6990112.080000001</v>
      </c>
      <c r="G16">
        <f t="shared" si="2"/>
        <v>3.3993847218145135E-2</v>
      </c>
      <c r="H16" s="8">
        <f t="shared" si="3"/>
        <v>3.3993847218145135</v>
      </c>
      <c r="I16"/>
      <c r="J16"/>
      <c r="K16" s="1">
        <v>75.599999999999994</v>
      </c>
      <c r="L16" s="6">
        <f t="shared" si="4"/>
        <v>2010854.16</v>
      </c>
      <c r="M16" s="10">
        <f t="shared" si="5"/>
        <v>1.900941385046236E-2</v>
      </c>
      <c r="N16" s="8">
        <f t="shared" si="6"/>
        <v>1.900941385046236</v>
      </c>
      <c r="O16" t="s">
        <v>12</v>
      </c>
    </row>
    <row r="17" spans="1:17" x14ac:dyDescent="0.25">
      <c r="A17" t="s">
        <v>13</v>
      </c>
      <c r="B17">
        <v>6333</v>
      </c>
      <c r="C17">
        <v>4.2</v>
      </c>
      <c r="D17" s="3">
        <f t="shared" si="7"/>
        <v>26598.600000000002</v>
      </c>
      <c r="E17" s="5">
        <v>43.800000000000004</v>
      </c>
      <c r="F17" s="7">
        <f t="shared" si="1"/>
        <v>1165018.6800000002</v>
      </c>
      <c r="G17">
        <f t="shared" si="2"/>
        <v>5.6656412030241894E-3</v>
      </c>
      <c r="H17" s="8">
        <f t="shared" si="3"/>
        <v>0.56656412030241898</v>
      </c>
      <c r="I17"/>
      <c r="J17"/>
      <c r="K17" s="1">
        <v>12.600000000000001</v>
      </c>
      <c r="L17" s="6">
        <f t="shared" si="4"/>
        <v>335142.36000000004</v>
      </c>
      <c r="M17" s="10">
        <f t="shared" si="5"/>
        <v>3.1682356417437273E-3</v>
      </c>
      <c r="N17" s="8">
        <f t="shared" si="6"/>
        <v>0.31682356417437274</v>
      </c>
      <c r="O17" t="s">
        <v>13</v>
      </c>
    </row>
    <row r="18" spans="1:17" x14ac:dyDescent="0.25">
      <c r="A18" t="s">
        <v>14</v>
      </c>
      <c r="B18">
        <v>6333</v>
      </c>
      <c r="C18">
        <v>4.2</v>
      </c>
      <c r="D18" s="3">
        <f t="shared" si="7"/>
        <v>26598.600000000002</v>
      </c>
      <c r="E18" s="5">
        <v>131.4</v>
      </c>
      <c r="F18" s="7">
        <f t="shared" si="1"/>
        <v>3495056.0400000005</v>
      </c>
      <c r="G18">
        <f t="shared" si="2"/>
        <v>1.6996923609072567E-2</v>
      </c>
      <c r="H18" s="8">
        <f t="shared" si="3"/>
        <v>1.6996923609072567</v>
      </c>
      <c r="I18"/>
      <c r="J18"/>
      <c r="K18" s="1">
        <v>37.799999999999997</v>
      </c>
      <c r="L18" s="6">
        <f t="shared" si="4"/>
        <v>1005427.08</v>
      </c>
      <c r="M18" s="10">
        <f t="shared" si="5"/>
        <v>9.5047069252311798E-3</v>
      </c>
      <c r="N18" s="8">
        <f t="shared" si="6"/>
        <v>0.950470692523118</v>
      </c>
      <c r="O18" t="s">
        <v>14</v>
      </c>
    </row>
    <row r="19" spans="1:17" x14ac:dyDescent="0.25">
      <c r="A19" t="s">
        <v>15</v>
      </c>
      <c r="B19">
        <v>6333</v>
      </c>
      <c r="C19">
        <v>2.2000000000000002</v>
      </c>
      <c r="D19" s="3">
        <f t="shared" si="7"/>
        <v>13932.6</v>
      </c>
      <c r="E19" s="5">
        <v>298.12</v>
      </c>
      <c r="F19" s="7">
        <f t="shared" si="1"/>
        <v>4153586.7120000003</v>
      </c>
      <c r="G19">
        <f t="shared" si="2"/>
        <v>2.019944608599835E-2</v>
      </c>
      <c r="H19" s="8">
        <f t="shared" si="3"/>
        <v>2.0199446085998352</v>
      </c>
      <c r="I19"/>
      <c r="J19"/>
      <c r="K19" s="1">
        <v>63.22</v>
      </c>
      <c r="L19" s="6">
        <f t="shared" si="4"/>
        <v>880818.97199999995</v>
      </c>
      <c r="M19" s="10">
        <f t="shared" si="5"/>
        <v>8.3267363189018229E-3</v>
      </c>
      <c r="N19" s="8">
        <f t="shared" si="6"/>
        <v>0.83267363189018229</v>
      </c>
      <c r="O19" t="s">
        <v>15</v>
      </c>
    </row>
    <row r="20" spans="1:17" x14ac:dyDescent="0.25">
      <c r="A20" t="s">
        <v>16</v>
      </c>
      <c r="B20">
        <v>6333</v>
      </c>
      <c r="C20">
        <v>2.2000000000000002</v>
      </c>
      <c r="D20" s="3">
        <f t="shared" si="7"/>
        <v>13932.6</v>
      </c>
      <c r="E20" s="5">
        <v>113.08</v>
      </c>
      <c r="F20" s="7">
        <f t="shared" si="1"/>
        <v>1575498.4080000001</v>
      </c>
      <c r="G20">
        <f t="shared" si="2"/>
        <v>7.6618588602062705E-3</v>
      </c>
      <c r="H20" s="8">
        <f t="shared" si="3"/>
        <v>0.76618588602062709</v>
      </c>
      <c r="I20"/>
      <c r="J20"/>
      <c r="K20" s="1">
        <v>23.98</v>
      </c>
      <c r="L20" s="6">
        <f t="shared" si="4"/>
        <v>334103.74800000002</v>
      </c>
      <c r="M20" s="10">
        <f t="shared" si="5"/>
        <v>3.1584172244110368E-3</v>
      </c>
      <c r="N20" s="8">
        <f t="shared" si="6"/>
        <v>0.3158417224411037</v>
      </c>
      <c r="O20" t="s">
        <v>16</v>
      </c>
    </row>
    <row r="21" spans="1:17" x14ac:dyDescent="0.25">
      <c r="A21" t="s">
        <v>17</v>
      </c>
      <c r="B21">
        <v>6333</v>
      </c>
      <c r="C21">
        <v>2.2000000000000002</v>
      </c>
      <c r="D21" s="3">
        <f>B21*C21</f>
        <v>13932.6</v>
      </c>
      <c r="E21" s="5">
        <v>102.80000000000001</v>
      </c>
      <c r="F21" s="7">
        <f t="shared" si="1"/>
        <v>1432271.2800000003</v>
      </c>
      <c r="G21">
        <f t="shared" si="2"/>
        <v>6.9653262365511562E-3</v>
      </c>
      <c r="H21" s="8">
        <f t="shared" si="3"/>
        <v>0.69653262365511559</v>
      </c>
      <c r="I21"/>
      <c r="J21"/>
      <c r="K21" s="1">
        <v>21.8</v>
      </c>
      <c r="L21" s="6">
        <f t="shared" si="4"/>
        <v>303730.68</v>
      </c>
      <c r="M21" s="10">
        <f t="shared" si="5"/>
        <v>2.8712883858282149E-3</v>
      </c>
      <c r="N21" s="8">
        <f t="shared" si="6"/>
        <v>0.28712883858282151</v>
      </c>
      <c r="O21" t="s">
        <v>17</v>
      </c>
    </row>
    <row r="22" spans="1:17" x14ac:dyDescent="0.25">
      <c r="A22" t="s">
        <v>18</v>
      </c>
      <c r="B22">
        <v>6333</v>
      </c>
      <c r="C22">
        <v>2.1</v>
      </c>
      <c r="D22" s="3">
        <f t="shared" si="7"/>
        <v>13299.300000000001</v>
      </c>
      <c r="E22" s="5">
        <v>300</v>
      </c>
      <c r="F22" s="7">
        <f t="shared" si="1"/>
        <v>3989790.0000000005</v>
      </c>
      <c r="G22">
        <f t="shared" si="2"/>
        <v>1.9402880832274622E-2</v>
      </c>
      <c r="H22" s="8">
        <f t="shared" si="3"/>
        <v>1.940288083227462</v>
      </c>
      <c r="I22"/>
      <c r="J22"/>
      <c r="K22" s="1">
        <v>76.2</v>
      </c>
      <c r="L22" s="6">
        <f t="shared" si="4"/>
        <v>1013406.6600000001</v>
      </c>
      <c r="M22" s="10">
        <f t="shared" si="5"/>
        <v>9.5801411071774617E-3</v>
      </c>
      <c r="N22" s="8">
        <f t="shared" si="6"/>
        <v>0.95801411071774623</v>
      </c>
      <c r="O22" t="s">
        <v>18</v>
      </c>
    </row>
    <row r="23" spans="1:17" x14ac:dyDescent="0.25">
      <c r="A23" t="s">
        <v>19</v>
      </c>
      <c r="B23">
        <v>6333</v>
      </c>
      <c r="C23">
        <v>2.1</v>
      </c>
      <c r="D23" s="3">
        <f t="shared" si="7"/>
        <v>13299.300000000001</v>
      </c>
      <c r="E23" s="5">
        <v>188</v>
      </c>
      <c r="F23" s="7">
        <f t="shared" si="1"/>
        <v>2500268.4000000004</v>
      </c>
      <c r="G23">
        <f t="shared" si="2"/>
        <v>1.2159138654892095E-2</v>
      </c>
      <c r="H23" s="8">
        <f t="shared" si="3"/>
        <v>1.2159138654892094</v>
      </c>
      <c r="I23" t="s">
        <v>109</v>
      </c>
      <c r="J23" s="8">
        <f>SUM(H17,H21,H23)</f>
        <v>2.4790106094467443</v>
      </c>
      <c r="K23" s="1">
        <v>47.752000000000002</v>
      </c>
      <c r="L23" s="6">
        <f t="shared" si="4"/>
        <v>635068.1736000001</v>
      </c>
      <c r="M23" s="10">
        <f t="shared" si="5"/>
        <v>6.0035550938312091E-3</v>
      </c>
      <c r="N23" s="8">
        <f t="shared" si="6"/>
        <v>0.60035550938312088</v>
      </c>
      <c r="O23" t="s">
        <v>19</v>
      </c>
      <c r="P23" t="s">
        <v>109</v>
      </c>
      <c r="Q23" s="8">
        <f>SUM(N17,N21,N23)</f>
        <v>1.2043079121403153</v>
      </c>
    </row>
    <row r="24" spans="1:17" x14ac:dyDescent="0.25">
      <c r="A24" t="s">
        <v>20</v>
      </c>
      <c r="B24">
        <v>6333</v>
      </c>
      <c r="C24">
        <v>2.1</v>
      </c>
      <c r="D24" s="3">
        <f t="shared" si="7"/>
        <v>13299.300000000001</v>
      </c>
      <c r="E24" s="5">
        <v>12</v>
      </c>
      <c r="F24" s="7">
        <f t="shared" si="1"/>
        <v>159591.6</v>
      </c>
      <c r="G24">
        <f t="shared" si="2"/>
        <v>7.7611523329098469E-4</v>
      </c>
      <c r="H24" s="8">
        <f t="shared" si="3"/>
        <v>7.7611523329098472E-2</v>
      </c>
      <c r="I24" t="s">
        <v>110</v>
      </c>
      <c r="J24" s="8">
        <f>SUM(H18,H20,H24)</f>
        <v>2.5434897702569823</v>
      </c>
      <c r="K24" s="1">
        <v>3.048</v>
      </c>
      <c r="L24" s="6">
        <f t="shared" si="4"/>
        <v>40536.2664</v>
      </c>
      <c r="M24" s="10">
        <f t="shared" si="5"/>
        <v>3.8320564428709841E-4</v>
      </c>
      <c r="N24" s="8">
        <f t="shared" si="6"/>
        <v>3.832056442870984E-2</v>
      </c>
      <c r="O24" t="s">
        <v>20</v>
      </c>
      <c r="P24" t="s">
        <v>110</v>
      </c>
      <c r="Q24" s="8">
        <f>SUM(N18,N20,N24)</f>
        <v>1.3046329793929317</v>
      </c>
    </row>
    <row r="25" spans="1:17" x14ac:dyDescent="0.25">
      <c r="A25" t="s">
        <v>21</v>
      </c>
      <c r="B25" t="s">
        <v>22</v>
      </c>
      <c r="C25" t="s">
        <v>22</v>
      </c>
      <c r="D25" s="3">
        <v>10290</v>
      </c>
      <c r="E25" s="5">
        <v>500</v>
      </c>
      <c r="F25" s="7">
        <f t="shared" si="1"/>
        <v>5145000</v>
      </c>
      <c r="G25">
        <f t="shared" si="2"/>
        <v>2.5020821116412871E-2</v>
      </c>
      <c r="H25" s="8">
        <f t="shared" si="3"/>
        <v>2.502082111641287</v>
      </c>
      <c r="I25" t="s">
        <v>111</v>
      </c>
      <c r="J25" s="8">
        <f>SUM(H16,H19,H22,H25)</f>
        <v>9.8616995252830968</v>
      </c>
      <c r="K25" s="1">
        <v>150</v>
      </c>
      <c r="L25" s="6">
        <f t="shared" si="4"/>
        <v>1543500</v>
      </c>
      <c r="M25" s="10">
        <f t="shared" si="5"/>
        <v>1.4591326841021953E-2</v>
      </c>
      <c r="N25" s="8">
        <f t="shared" si="6"/>
        <v>1.4591326841021954</v>
      </c>
      <c r="O25" t="s">
        <v>21</v>
      </c>
      <c r="P25" t="s">
        <v>123</v>
      </c>
      <c r="Q25" s="8">
        <f>SUM(N16,N19,N22,N25)</f>
        <v>5.1507618117563601</v>
      </c>
    </row>
    <row r="27" spans="1:17" x14ac:dyDescent="0.25">
      <c r="A27" t="s">
        <v>102</v>
      </c>
      <c r="D27" s="3">
        <f>SUM(D6,D7,D8,D9,D10,D11,D12,D13,D14,D15,D16,D19,D22,D25)</f>
        <v>719760.5</v>
      </c>
      <c r="F27" s="7">
        <f>SUM(F6:F25)</f>
        <v>205628743.20000002</v>
      </c>
      <c r="L27" s="6">
        <f>SUM(L6:L25)</f>
        <v>105782018.09999999</v>
      </c>
      <c r="O27" t="s">
        <v>102</v>
      </c>
    </row>
    <row r="28" spans="1:17" x14ac:dyDescent="0.25">
      <c r="A28" s="2" t="s">
        <v>47</v>
      </c>
      <c r="F28" s="7">
        <v>205628743.20000002</v>
      </c>
      <c r="L28" s="6">
        <v>105782018.09999999</v>
      </c>
    </row>
    <row r="29" spans="1:17" x14ac:dyDescent="0.25">
      <c r="A29" t="s">
        <v>43</v>
      </c>
    </row>
    <row r="30" spans="1:17" x14ac:dyDescent="0.25">
      <c r="A30" t="s">
        <v>44</v>
      </c>
    </row>
    <row r="31" spans="1:17" x14ac:dyDescent="0.25">
      <c r="A31" t="s">
        <v>45</v>
      </c>
    </row>
    <row r="32" spans="1:17" x14ac:dyDescent="0.25">
      <c r="A32" t="s">
        <v>46</v>
      </c>
    </row>
    <row r="34" spans="1:1" x14ac:dyDescent="0.25">
      <c r="A34" s="2" t="s">
        <v>48</v>
      </c>
    </row>
    <row r="73" spans="1:7" x14ac:dyDescent="0.25">
      <c r="A73" s="2" t="s">
        <v>57</v>
      </c>
    </row>
    <row r="75" spans="1:7" x14ac:dyDescent="0.25">
      <c r="A75" t="s">
        <v>58</v>
      </c>
    </row>
    <row r="76" spans="1:7" x14ac:dyDescent="0.25">
      <c r="A76" t="s">
        <v>59</v>
      </c>
      <c r="G76">
        <v>14510</v>
      </c>
    </row>
    <row r="77" spans="1:7" x14ac:dyDescent="0.25">
      <c r="A77" t="s">
        <v>60</v>
      </c>
      <c r="E77" s="5">
        <f xml:space="preserve"> 220+1200+2400+6000+10200</f>
        <v>20020</v>
      </c>
      <c r="G77">
        <v>20020</v>
      </c>
    </row>
    <row r="78" spans="1:7" x14ac:dyDescent="0.25">
      <c r="A78" t="s">
        <v>61</v>
      </c>
      <c r="E78" s="5">
        <f>E77-0.5*11020</f>
        <v>14510</v>
      </c>
      <c r="G78">
        <v>14510</v>
      </c>
    </row>
    <row r="110" spans="1:6" x14ac:dyDescent="0.25">
      <c r="A110" s="2" t="s">
        <v>69</v>
      </c>
    </row>
    <row r="111" spans="1:6" x14ac:dyDescent="0.25">
      <c r="A111">
        <f>5300+3000+1040+770+180</f>
        <v>10290</v>
      </c>
      <c r="B111" t="s">
        <v>39</v>
      </c>
      <c r="E111" s="5" t="s">
        <v>68</v>
      </c>
      <c r="F111" s="7">
        <f>180+770+1040+3000+5300</f>
        <v>10290</v>
      </c>
    </row>
    <row r="140" spans="1:7" x14ac:dyDescent="0.25">
      <c r="A140" s="2" t="s">
        <v>76</v>
      </c>
    </row>
    <row r="141" spans="1:7" x14ac:dyDescent="0.25">
      <c r="F141" s="7" t="s">
        <v>84</v>
      </c>
    </row>
    <row r="142" spans="1:7" x14ac:dyDescent="0.25">
      <c r="F142" s="7" t="s">
        <v>85</v>
      </c>
    </row>
    <row r="143" spans="1:7" x14ac:dyDescent="0.25">
      <c r="F143" s="7" t="s">
        <v>86</v>
      </c>
    </row>
    <row r="144" spans="1:7" x14ac:dyDescent="0.25">
      <c r="F144" s="7" t="s">
        <v>87</v>
      </c>
      <c r="G144">
        <f>514*0.58</f>
        <v>298.12</v>
      </c>
    </row>
    <row r="145" spans="1:7" x14ac:dyDescent="0.25">
      <c r="F145" s="7" t="s">
        <v>88</v>
      </c>
      <c r="G145">
        <f>514*0.22</f>
        <v>113.08</v>
      </c>
    </row>
    <row r="146" spans="1:7" x14ac:dyDescent="0.25">
      <c r="F146" s="7" t="s">
        <v>89</v>
      </c>
      <c r="G146">
        <f>514*0.2</f>
        <v>102.80000000000001</v>
      </c>
    </row>
    <row r="147" spans="1:7" x14ac:dyDescent="0.25">
      <c r="F147" s="7" t="s">
        <v>90</v>
      </c>
      <c r="G147">
        <f>500*0.6</f>
        <v>300</v>
      </c>
    </row>
    <row r="148" spans="1:7" x14ac:dyDescent="0.25">
      <c r="F148" s="7" t="s">
        <v>91</v>
      </c>
      <c r="G148">
        <f>500*0.4*0.94</f>
        <v>188</v>
      </c>
    </row>
    <row r="149" spans="1:7" x14ac:dyDescent="0.25">
      <c r="F149" s="7" t="s">
        <v>92</v>
      </c>
      <c r="G149">
        <f>500*0.4*0.06</f>
        <v>12</v>
      </c>
    </row>
    <row r="150" spans="1:7" x14ac:dyDescent="0.25">
      <c r="F150" s="7" t="s">
        <v>21</v>
      </c>
      <c r="G150">
        <v>500</v>
      </c>
    </row>
    <row r="158" spans="1:7" x14ac:dyDescent="0.25">
      <c r="A158" s="2" t="s">
        <v>77</v>
      </c>
    </row>
    <row r="195" spans="1:1" x14ac:dyDescent="0.25">
      <c r="A195" s="2" t="s">
        <v>78</v>
      </c>
    </row>
    <row r="196" spans="1:1" x14ac:dyDescent="0.25">
      <c r="A196" s="4" t="s">
        <v>79</v>
      </c>
    </row>
    <row r="197" spans="1:1" x14ac:dyDescent="0.25">
      <c r="A197" s="4" t="s">
        <v>80</v>
      </c>
    </row>
    <row r="198" spans="1:1" x14ac:dyDescent="0.25">
      <c r="A198" s="4" t="s">
        <v>81</v>
      </c>
    </row>
    <row r="199" spans="1:1" x14ac:dyDescent="0.25">
      <c r="A199" s="4" t="s">
        <v>82</v>
      </c>
    </row>
    <row r="225" spans="1:1" x14ac:dyDescent="0.25">
      <c r="A225" s="2" t="s">
        <v>113</v>
      </c>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3FCA6-5A1F-4B1A-BD4E-8315D679645E}">
  <dimension ref="A1:U51"/>
  <sheetViews>
    <sheetView workbookViewId="0">
      <selection activeCell="J14" sqref="J14"/>
    </sheetView>
  </sheetViews>
  <sheetFormatPr defaultRowHeight="15" x14ac:dyDescent="0.25"/>
  <cols>
    <col min="1" max="1" width="23.7109375" customWidth="1"/>
    <col min="2" max="2" width="12.85546875" style="16" customWidth="1"/>
    <col min="3" max="3" width="8.85546875" style="5"/>
    <col min="4" max="4" width="11.28515625" style="1" customWidth="1"/>
    <col min="5" max="5" width="12.42578125" style="5" customWidth="1"/>
    <col min="8" max="8" width="18" customWidth="1"/>
    <col min="9" max="16" width="10.7109375" customWidth="1"/>
    <col min="19" max="19" width="9.140625" style="16"/>
  </cols>
  <sheetData>
    <row r="1" spans="1:21" ht="35.25" customHeight="1" thickBot="1" x14ac:dyDescent="0.3">
      <c r="A1" s="1" t="s">
        <v>0</v>
      </c>
      <c r="B1" s="6" t="s">
        <v>147</v>
      </c>
      <c r="C1" s="9" t="s">
        <v>104</v>
      </c>
      <c r="D1" s="6" t="s">
        <v>148</v>
      </c>
      <c r="E1" s="9" t="s">
        <v>149</v>
      </c>
      <c r="G1" s="18"/>
      <c r="H1" s="28" t="s">
        <v>0</v>
      </c>
      <c r="I1" s="31" t="s">
        <v>147</v>
      </c>
      <c r="J1" s="31"/>
      <c r="K1" s="32" t="s">
        <v>104</v>
      </c>
      <c r="L1" s="32"/>
      <c r="M1" s="31" t="s">
        <v>153</v>
      </c>
      <c r="N1" s="31"/>
      <c r="O1" s="32" t="s">
        <v>149</v>
      </c>
      <c r="P1" s="32"/>
      <c r="Q1" s="18"/>
      <c r="R1" s="18"/>
      <c r="S1" s="19"/>
      <c r="T1" s="18"/>
      <c r="U1" s="18"/>
    </row>
    <row r="2" spans="1:21" ht="15.75" thickTop="1" x14ac:dyDescent="0.25">
      <c r="A2" s="1"/>
      <c r="B2" s="6"/>
      <c r="C2" s="9"/>
      <c r="D2" s="6"/>
      <c r="E2" s="9"/>
      <c r="G2" s="18"/>
      <c r="H2" s="20"/>
      <c r="I2" s="21" t="s">
        <v>150</v>
      </c>
      <c r="J2" s="21" t="s">
        <v>151</v>
      </c>
      <c r="K2" s="21" t="s">
        <v>150</v>
      </c>
      <c r="L2" s="21" t="s">
        <v>151</v>
      </c>
      <c r="M2" s="21" t="s">
        <v>150</v>
      </c>
      <c r="N2" s="21" t="s">
        <v>151</v>
      </c>
      <c r="O2" s="21" t="s">
        <v>150</v>
      </c>
      <c r="P2" s="21" t="s">
        <v>151</v>
      </c>
      <c r="Q2" s="18"/>
      <c r="R2" s="18"/>
      <c r="S2" s="19"/>
      <c r="T2" s="18"/>
      <c r="U2" s="18"/>
    </row>
    <row r="3" spans="1:21" x14ac:dyDescent="0.25">
      <c r="A3" t="s">
        <v>120</v>
      </c>
      <c r="B3" s="16">
        <v>48.358800000000002</v>
      </c>
      <c r="C3" s="16">
        <v>23.517529333418597</v>
      </c>
      <c r="D3" s="6">
        <v>33030.787499999999</v>
      </c>
      <c r="E3" s="16">
        <v>31.225333089008256</v>
      </c>
      <c r="G3" s="18"/>
      <c r="H3" s="25" t="s">
        <v>120</v>
      </c>
      <c r="I3" s="19">
        <v>48.358800000000002</v>
      </c>
      <c r="J3" s="22">
        <v>10.19088</v>
      </c>
      <c r="K3" s="19">
        <v>23.517529333418597</v>
      </c>
      <c r="L3" s="19">
        <f t="shared" ref="L3:L22" si="0">(J3/$J$23)*100</f>
        <v>20.083335294196242</v>
      </c>
      <c r="M3" s="17">
        <v>33030.787499999999</v>
      </c>
      <c r="N3" s="17">
        <v>8189.1</v>
      </c>
      <c r="O3" s="19">
        <v>31.225333089008256</v>
      </c>
      <c r="P3" s="19">
        <f t="shared" ref="P3:P22" si="1">(N3/$N$23)*100</f>
        <v>29.795881239994181</v>
      </c>
      <c r="Q3" s="18"/>
      <c r="R3" s="18"/>
      <c r="S3" s="19"/>
      <c r="T3" s="18"/>
      <c r="U3" s="18"/>
    </row>
    <row r="4" spans="1:21" x14ac:dyDescent="0.25">
      <c r="A4" t="s">
        <v>121</v>
      </c>
      <c r="B4" s="16">
        <v>48.358800000000002</v>
      </c>
      <c r="C4" s="16">
        <v>23.517529333418597</v>
      </c>
      <c r="D4" s="6">
        <v>33030.787499999999</v>
      </c>
      <c r="E4" s="16">
        <v>31.225333089008256</v>
      </c>
      <c r="G4" s="18"/>
      <c r="H4" s="25" t="s">
        <v>121</v>
      </c>
      <c r="I4" s="19">
        <v>48.358800000000002</v>
      </c>
      <c r="J4" s="22">
        <v>10.19088</v>
      </c>
      <c r="K4" s="19">
        <v>23.517529333418597</v>
      </c>
      <c r="L4" s="19">
        <f t="shared" si="0"/>
        <v>20.083335294196242</v>
      </c>
      <c r="M4" s="17">
        <v>33030.787499999999</v>
      </c>
      <c r="N4" s="17">
        <v>8189.1</v>
      </c>
      <c r="O4" s="19">
        <v>31.225333089008256</v>
      </c>
      <c r="P4" s="19">
        <f t="shared" si="1"/>
        <v>29.795881239994181</v>
      </c>
      <c r="Q4" s="18"/>
      <c r="R4" s="18"/>
      <c r="S4" s="19"/>
      <c r="T4" s="18"/>
      <c r="U4" s="18"/>
    </row>
    <row r="5" spans="1:21" x14ac:dyDescent="0.25">
      <c r="A5" t="s">
        <v>122</v>
      </c>
      <c r="B5" s="16">
        <v>10.7464</v>
      </c>
      <c r="C5" s="16">
        <v>5.2261176296485763</v>
      </c>
      <c r="D5" s="6">
        <v>7340.1750000000002</v>
      </c>
      <c r="E5" s="16">
        <v>6.9389629086685014</v>
      </c>
      <c r="G5" s="18"/>
      <c r="H5" s="25" t="s">
        <v>122</v>
      </c>
      <c r="I5" s="19">
        <v>10.7464</v>
      </c>
      <c r="J5" s="22">
        <v>2.26464</v>
      </c>
      <c r="K5" s="19">
        <v>5.2261176296485763</v>
      </c>
      <c r="L5" s="19">
        <f t="shared" si="0"/>
        <v>4.4629633987102766</v>
      </c>
      <c r="M5" s="17">
        <v>7340.1750000000002</v>
      </c>
      <c r="N5" s="17">
        <v>1819.8000000000002</v>
      </c>
      <c r="O5" s="19">
        <v>6.9389629086685014</v>
      </c>
      <c r="P5" s="19">
        <f t="shared" si="1"/>
        <v>6.6213069422209294</v>
      </c>
      <c r="Q5" s="18"/>
      <c r="R5" s="18"/>
      <c r="S5" s="19"/>
      <c r="T5" s="18"/>
      <c r="U5" s="18"/>
    </row>
    <row r="6" spans="1:21" x14ac:dyDescent="0.25">
      <c r="A6" t="s">
        <v>5</v>
      </c>
      <c r="B6" s="16">
        <v>4.0469999999999997</v>
      </c>
      <c r="C6" s="16">
        <v>1.9681100691569076</v>
      </c>
      <c r="D6" s="6">
        <v>1497.39</v>
      </c>
      <c r="E6" s="16">
        <v>1.415543044928919</v>
      </c>
      <c r="G6" s="18"/>
      <c r="H6" s="25" t="s">
        <v>5</v>
      </c>
      <c r="I6" s="19">
        <v>4.0469999999999997</v>
      </c>
      <c r="J6" s="19">
        <f t="shared" ref="J6:J22" si="2">R6/1000000</f>
        <v>1.167907</v>
      </c>
      <c r="K6" s="19">
        <v>1.9681100691569076</v>
      </c>
      <c r="L6" s="19">
        <f t="shared" si="0"/>
        <v>2.3016135871915724</v>
      </c>
      <c r="M6" s="17">
        <v>1497.39</v>
      </c>
      <c r="N6" s="26">
        <v>432</v>
      </c>
      <c r="O6" s="19">
        <v>1.415543044928919</v>
      </c>
      <c r="P6" s="19">
        <f t="shared" si="1"/>
        <v>1.5718236064619413</v>
      </c>
      <c r="Q6" s="18"/>
      <c r="R6" s="26">
        <v>1167907</v>
      </c>
      <c r="S6" s="19"/>
      <c r="T6" s="18"/>
      <c r="U6" s="18"/>
    </row>
    <row r="7" spans="1:21" x14ac:dyDescent="0.25">
      <c r="A7" t="s">
        <v>6</v>
      </c>
      <c r="B7" s="16">
        <v>3.306</v>
      </c>
      <c r="C7" s="16">
        <v>1.6077518874802905</v>
      </c>
      <c r="D7" s="6">
        <v>815.48</v>
      </c>
      <c r="E7" s="16">
        <v>0.77090607141668821</v>
      </c>
      <c r="G7" s="18"/>
      <c r="H7" s="25" t="s">
        <v>6</v>
      </c>
      <c r="I7" s="19">
        <v>3.306</v>
      </c>
      <c r="J7" s="19">
        <f t="shared" si="2"/>
        <v>0.43675199999999997</v>
      </c>
      <c r="K7" s="19">
        <v>1.6077518874802905</v>
      </c>
      <c r="L7" s="19">
        <f t="shared" si="0"/>
        <v>0.86071436975126758</v>
      </c>
      <c r="M7" s="17">
        <v>815.48</v>
      </c>
      <c r="N7" s="26">
        <v>108</v>
      </c>
      <c r="O7" s="19">
        <v>0.77090607141668821</v>
      </c>
      <c r="P7" s="19">
        <f t="shared" si="1"/>
        <v>0.39295590161548533</v>
      </c>
      <c r="Q7" s="18"/>
      <c r="R7" s="26">
        <v>436752</v>
      </c>
      <c r="S7" s="19"/>
      <c r="T7" s="18"/>
      <c r="U7" s="18"/>
    </row>
    <row r="8" spans="1:21" x14ac:dyDescent="0.25">
      <c r="A8" t="s">
        <v>7</v>
      </c>
      <c r="B8" s="16">
        <v>1.81375</v>
      </c>
      <c r="C8" s="16">
        <v>0.88205081243719807</v>
      </c>
      <c r="D8" s="6">
        <v>536.87</v>
      </c>
      <c r="E8" s="16">
        <v>0.50752482287913547</v>
      </c>
      <c r="G8" s="18"/>
      <c r="H8" s="25" t="s">
        <v>7</v>
      </c>
      <c r="I8" s="19">
        <v>1.81375</v>
      </c>
      <c r="J8" s="19">
        <f t="shared" si="2"/>
        <v>0.72792000000000001</v>
      </c>
      <c r="K8" s="19">
        <v>0.88205081243719807</v>
      </c>
      <c r="L8" s="19">
        <f t="shared" si="0"/>
        <v>1.4345239495854458</v>
      </c>
      <c r="M8" s="17">
        <v>536.87</v>
      </c>
      <c r="N8" s="26">
        <v>215</v>
      </c>
      <c r="O8" s="19">
        <v>0.50752482287913547</v>
      </c>
      <c r="P8" s="19">
        <f t="shared" si="1"/>
        <v>0.78227332266045702</v>
      </c>
      <c r="Q8" s="18"/>
      <c r="R8" s="26">
        <v>727920</v>
      </c>
      <c r="S8" s="19"/>
      <c r="T8" s="18"/>
      <c r="U8" s="18"/>
    </row>
    <row r="9" spans="1:21" x14ac:dyDescent="0.25">
      <c r="A9" t="s">
        <v>8</v>
      </c>
      <c r="B9" s="16">
        <v>3.0030000000000001</v>
      </c>
      <c r="C9" s="16">
        <v>1.4603989467947105</v>
      </c>
      <c r="D9" s="6">
        <v>740.74</v>
      </c>
      <c r="E9" s="16">
        <v>0.70025134073330753</v>
      </c>
      <c r="G9" s="18"/>
      <c r="H9" s="25" t="s">
        <v>8</v>
      </c>
      <c r="I9" s="19">
        <v>3.0030000000000001</v>
      </c>
      <c r="J9" s="19">
        <f t="shared" si="2"/>
        <v>0.87350399999999995</v>
      </c>
      <c r="K9" s="19">
        <v>1.4603989467947105</v>
      </c>
      <c r="L9" s="19">
        <f t="shared" si="0"/>
        <v>1.7214287395025352</v>
      </c>
      <c r="M9" s="17">
        <v>740.74</v>
      </c>
      <c r="N9" s="26">
        <v>215</v>
      </c>
      <c r="O9" s="19">
        <v>0.70025134073330753</v>
      </c>
      <c r="P9" s="19">
        <f t="shared" si="1"/>
        <v>0.78227332266045702</v>
      </c>
      <c r="Q9" s="18"/>
      <c r="R9" s="26">
        <v>873504</v>
      </c>
      <c r="S9" s="19"/>
      <c r="T9" s="18"/>
      <c r="U9" s="18"/>
    </row>
    <row r="10" spans="1:21" x14ac:dyDescent="0.25">
      <c r="A10" t="s">
        <v>9</v>
      </c>
      <c r="B10" s="16">
        <v>17.727</v>
      </c>
      <c r="C10" s="16">
        <v>8.6208765001098335</v>
      </c>
      <c r="D10" s="6">
        <v>7125</v>
      </c>
      <c r="E10" s="16">
        <v>6.7355493192278209</v>
      </c>
      <c r="G10" s="18"/>
      <c r="H10" s="25" t="s">
        <v>9</v>
      </c>
      <c r="I10" s="19">
        <v>17.727</v>
      </c>
      <c r="J10" s="19">
        <f t="shared" si="2"/>
        <v>7.5461039999999997</v>
      </c>
      <c r="K10" s="19">
        <v>8.6208765001098335</v>
      </c>
      <c r="L10" s="19">
        <f t="shared" si="0"/>
        <v>14.871231610702457</v>
      </c>
      <c r="M10" s="17">
        <v>7125</v>
      </c>
      <c r="N10" s="26">
        <v>3033</v>
      </c>
      <c r="O10" s="19">
        <v>6.7355493192278209</v>
      </c>
      <c r="P10" s="19">
        <f t="shared" si="1"/>
        <v>11.035511570368215</v>
      </c>
      <c r="Q10" s="18"/>
      <c r="R10" s="26">
        <v>7546104</v>
      </c>
      <c r="S10" s="19"/>
      <c r="T10" s="18"/>
      <c r="U10" s="18"/>
    </row>
    <row r="11" spans="1:21" x14ac:dyDescent="0.25">
      <c r="A11" t="s">
        <v>10</v>
      </c>
      <c r="B11" s="16">
        <v>17.765000000000001</v>
      </c>
      <c r="C11" s="16">
        <v>8.6393564068624809</v>
      </c>
      <c r="D11" s="6">
        <v>5103.3999999999996</v>
      </c>
      <c r="E11" s="16">
        <v>4.8244494590522473</v>
      </c>
      <c r="G11" s="18"/>
      <c r="H11" s="25" t="s">
        <v>10</v>
      </c>
      <c r="I11" s="19">
        <v>17.765000000000001</v>
      </c>
      <c r="J11" s="19">
        <f t="shared" si="2"/>
        <v>3.614325</v>
      </c>
      <c r="K11" s="19">
        <v>8.6393564068624809</v>
      </c>
      <c r="L11" s="19">
        <f t="shared" si="0"/>
        <v>7.122809888566624</v>
      </c>
      <c r="M11" s="17">
        <v>5103.3999999999996</v>
      </c>
      <c r="N11" s="26">
        <v>1038</v>
      </c>
      <c r="O11" s="19">
        <v>4.8244494590522473</v>
      </c>
      <c r="P11" s="19">
        <f t="shared" si="1"/>
        <v>3.7767428321932766</v>
      </c>
      <c r="Q11" s="18"/>
      <c r="R11" s="26">
        <v>3614325</v>
      </c>
      <c r="S11" s="19"/>
      <c r="T11" s="18"/>
      <c r="U11" s="18"/>
    </row>
    <row r="12" spans="1:21" x14ac:dyDescent="0.25">
      <c r="A12" t="s">
        <v>11</v>
      </c>
      <c r="B12" s="16">
        <v>19.896799999999999</v>
      </c>
      <c r="C12" s="16">
        <v>9.6760791756859774</v>
      </c>
      <c r="D12" s="6">
        <v>8458.7999999999993</v>
      </c>
      <c r="E12" s="16">
        <v>7.9964441517872684</v>
      </c>
      <c r="G12" s="18"/>
      <c r="H12" s="25" t="s">
        <v>11</v>
      </c>
      <c r="I12" s="19">
        <v>19.896799999999999</v>
      </c>
      <c r="J12" s="19">
        <f t="shared" si="2"/>
        <v>3.7811400000000002</v>
      </c>
      <c r="K12" s="19">
        <v>9.6760791756859774</v>
      </c>
      <c r="L12" s="19">
        <f t="shared" si="0"/>
        <v>7.4515549603466225</v>
      </c>
      <c r="M12" s="17">
        <v>8458.7999999999993</v>
      </c>
      <c r="N12" s="26">
        <v>1607</v>
      </c>
      <c r="O12" s="19">
        <v>7.9964441517872684</v>
      </c>
      <c r="P12" s="19">
        <f t="shared" si="1"/>
        <v>5.847038276815602</v>
      </c>
      <c r="Q12" s="18"/>
      <c r="R12" s="26">
        <v>3781140</v>
      </c>
      <c r="S12" s="19"/>
      <c r="T12" s="18"/>
      <c r="U12" s="18"/>
    </row>
    <row r="13" spans="1:21" x14ac:dyDescent="0.25">
      <c r="A13" t="s">
        <v>12</v>
      </c>
      <c r="B13" s="16">
        <v>6.9901120800000012</v>
      </c>
      <c r="C13" s="16">
        <v>3.3993847218145135</v>
      </c>
      <c r="D13" s="6">
        <v>2010.8541599999999</v>
      </c>
      <c r="E13" s="16">
        <v>1.900941385046236</v>
      </c>
      <c r="G13" s="18"/>
      <c r="H13" s="25" t="s">
        <v>12</v>
      </c>
      <c r="I13" s="19">
        <v>6.9901120800000012</v>
      </c>
      <c r="J13" s="19">
        <f t="shared" si="2"/>
        <v>2.656908</v>
      </c>
      <c r="K13" s="19">
        <v>3.3993847218145135</v>
      </c>
      <c r="L13" s="19">
        <f t="shared" si="0"/>
        <v>5.2360124159868775</v>
      </c>
      <c r="M13" s="17">
        <v>2010.8541599999999</v>
      </c>
      <c r="N13" s="26">
        <v>764</v>
      </c>
      <c r="O13" s="19">
        <v>1.900941385046236</v>
      </c>
      <c r="P13" s="19">
        <f t="shared" si="1"/>
        <v>2.7797991558725079</v>
      </c>
      <c r="Q13" s="18"/>
      <c r="R13" s="26">
        <v>2656908</v>
      </c>
      <c r="S13" s="19"/>
      <c r="T13" s="18"/>
      <c r="U13" s="18"/>
    </row>
    <row r="14" spans="1:21" x14ac:dyDescent="0.25">
      <c r="A14" t="s">
        <v>13</v>
      </c>
      <c r="B14" s="16">
        <v>1.1650186800000002</v>
      </c>
      <c r="C14" s="16">
        <v>0.56656412030241898</v>
      </c>
      <c r="D14" s="6">
        <v>335.14236000000005</v>
      </c>
      <c r="E14" s="16">
        <v>0.31682356417437274</v>
      </c>
      <c r="G14" s="18"/>
      <c r="H14" s="25" t="s">
        <v>13</v>
      </c>
      <c r="I14" s="19">
        <v>1.1650186800000002</v>
      </c>
      <c r="J14" s="19">
        <f t="shared" si="2"/>
        <v>0.44281799999999999</v>
      </c>
      <c r="K14" s="19">
        <v>0.56656412030241898</v>
      </c>
      <c r="L14" s="19">
        <f t="shared" si="0"/>
        <v>0.87266873599781292</v>
      </c>
      <c r="M14" s="17">
        <v>335.14236000000005</v>
      </c>
      <c r="N14" s="26">
        <v>127</v>
      </c>
      <c r="O14" s="19">
        <v>0.31682356417437274</v>
      </c>
      <c r="P14" s="19">
        <f t="shared" si="1"/>
        <v>0.46208703245524663</v>
      </c>
      <c r="Q14" s="18"/>
      <c r="R14" s="26">
        <v>442818</v>
      </c>
      <c r="S14" s="19"/>
      <c r="T14" s="18"/>
      <c r="U14" s="18"/>
    </row>
    <row r="15" spans="1:21" x14ac:dyDescent="0.25">
      <c r="A15" t="s">
        <v>14</v>
      </c>
      <c r="B15" s="16">
        <v>3.4950560400000006</v>
      </c>
      <c r="C15" s="16">
        <v>1.6996923609072567</v>
      </c>
      <c r="D15" s="6">
        <v>1005.4270799999999</v>
      </c>
      <c r="E15" s="16">
        <v>0.950470692523118</v>
      </c>
      <c r="G15" s="18"/>
      <c r="H15" s="25" t="s">
        <v>14</v>
      </c>
      <c r="I15" s="19">
        <v>3.4950560400000006</v>
      </c>
      <c r="J15" s="19">
        <f t="shared" si="2"/>
        <v>1.328454</v>
      </c>
      <c r="K15" s="19">
        <v>1.6996923609072567</v>
      </c>
      <c r="L15" s="19">
        <f t="shared" si="0"/>
        <v>2.6180062079934387</v>
      </c>
      <c r="M15" s="17">
        <v>1005.4270799999999</v>
      </c>
      <c r="N15" s="26">
        <v>382</v>
      </c>
      <c r="O15" s="19">
        <v>0.950470692523118</v>
      </c>
      <c r="P15" s="19">
        <f t="shared" si="1"/>
        <v>1.389899577936254</v>
      </c>
      <c r="Q15" s="18"/>
      <c r="R15" s="26">
        <v>1328454</v>
      </c>
      <c r="S15" s="19"/>
      <c r="T15" s="18"/>
      <c r="U15" s="18"/>
    </row>
    <row r="16" spans="1:21" x14ac:dyDescent="0.25">
      <c r="A16" t="s">
        <v>15</v>
      </c>
      <c r="B16" s="16">
        <v>4.1535867120000001</v>
      </c>
      <c r="C16" s="16">
        <v>2.0199446085998352</v>
      </c>
      <c r="D16" s="6">
        <v>880.81897199999992</v>
      </c>
      <c r="E16" s="16">
        <v>0.83267363189018229</v>
      </c>
      <c r="G16" s="18"/>
      <c r="H16" s="25" t="s">
        <v>15</v>
      </c>
      <c r="I16" s="19">
        <v>4.1535867120000001</v>
      </c>
      <c r="J16" s="19">
        <f t="shared" si="2"/>
        <v>1.3060639999999999</v>
      </c>
      <c r="K16" s="19">
        <v>2.0199446085998352</v>
      </c>
      <c r="L16" s="19">
        <f t="shared" si="0"/>
        <v>2.5738818657151414</v>
      </c>
      <c r="M16" s="17">
        <v>880.81897199999992</v>
      </c>
      <c r="N16" s="26">
        <v>277</v>
      </c>
      <c r="O16" s="19">
        <v>0.83267363189018229</v>
      </c>
      <c r="P16" s="19">
        <f t="shared" si="1"/>
        <v>1.0078591180323095</v>
      </c>
      <c r="Q16" s="18"/>
      <c r="R16" s="26">
        <v>1306064</v>
      </c>
      <c r="S16" s="19"/>
      <c r="T16" s="18"/>
      <c r="U16" s="18"/>
    </row>
    <row r="17" spans="1:21" x14ac:dyDescent="0.25">
      <c r="A17" t="s">
        <v>16</v>
      </c>
      <c r="B17" s="16">
        <v>1.5754984080000001</v>
      </c>
      <c r="C17" s="16">
        <v>0.76618588602062709</v>
      </c>
      <c r="D17" s="6">
        <v>334.103748</v>
      </c>
      <c r="E17" s="16">
        <v>0.3158417224411037</v>
      </c>
      <c r="G17" s="18"/>
      <c r="H17" s="25" t="s">
        <v>16</v>
      </c>
      <c r="I17" s="19">
        <v>1.5754984080000001</v>
      </c>
      <c r="J17" s="19">
        <f t="shared" si="2"/>
        <v>0.49540299999999998</v>
      </c>
      <c r="K17" s="19">
        <v>0.76618588602062709</v>
      </c>
      <c r="L17" s="19">
        <f t="shared" si="0"/>
        <v>0.97629886278228184</v>
      </c>
      <c r="M17" s="17">
        <v>334.103748</v>
      </c>
      <c r="N17" s="26">
        <v>105</v>
      </c>
      <c r="O17" s="19">
        <v>0.3158417224411037</v>
      </c>
      <c r="P17" s="19">
        <f t="shared" si="1"/>
        <v>0.38204045990394414</v>
      </c>
      <c r="Q17" s="18"/>
      <c r="R17" s="26">
        <v>495403</v>
      </c>
      <c r="S17" s="19"/>
      <c r="T17" s="18"/>
      <c r="U17" s="18"/>
    </row>
    <row r="18" spans="1:21" x14ac:dyDescent="0.25">
      <c r="A18" t="s">
        <v>17</v>
      </c>
      <c r="B18" s="16">
        <v>1.4322712800000004</v>
      </c>
      <c r="C18" s="16">
        <v>0.69653262365511559</v>
      </c>
      <c r="D18" s="6">
        <v>303.73068000000001</v>
      </c>
      <c r="E18" s="16">
        <v>0.28712883858282151</v>
      </c>
      <c r="G18" s="18"/>
      <c r="H18" s="25" t="s">
        <v>17</v>
      </c>
      <c r="I18" s="19">
        <v>1.4322712800000004</v>
      </c>
      <c r="J18" s="19">
        <f t="shared" si="2"/>
        <v>0.45036700000000002</v>
      </c>
      <c r="K18" s="19">
        <v>0.69653262365511559</v>
      </c>
      <c r="L18" s="19">
        <f t="shared" si="0"/>
        <v>0.88754567480347912</v>
      </c>
      <c r="M18" s="17">
        <v>303.73068000000001</v>
      </c>
      <c r="N18" s="26">
        <v>96</v>
      </c>
      <c r="O18" s="19">
        <v>0.28712883858282151</v>
      </c>
      <c r="P18" s="19">
        <f t="shared" si="1"/>
        <v>0.34929413476932036</v>
      </c>
      <c r="Q18" s="18"/>
      <c r="R18" s="26">
        <v>450367</v>
      </c>
      <c r="S18" s="19"/>
      <c r="T18" s="18"/>
      <c r="U18" s="18"/>
    </row>
    <row r="19" spans="1:21" x14ac:dyDescent="0.25">
      <c r="A19" t="s">
        <v>18</v>
      </c>
      <c r="B19" s="16">
        <v>3.9897900000000006</v>
      </c>
      <c r="C19" s="16">
        <v>1.940288083227462</v>
      </c>
      <c r="D19" s="6">
        <v>1013.4066600000001</v>
      </c>
      <c r="E19" s="16">
        <v>0.95801411071774623</v>
      </c>
      <c r="G19" s="18"/>
      <c r="H19" s="25" t="s">
        <v>18</v>
      </c>
      <c r="I19" s="19">
        <v>3.9897900000000006</v>
      </c>
      <c r="J19" s="19">
        <f t="shared" si="2"/>
        <v>1.2132000000000001</v>
      </c>
      <c r="K19" s="19">
        <v>1.940288083227462</v>
      </c>
      <c r="L19" s="19">
        <f t="shared" si="0"/>
        <v>2.3908732493090765</v>
      </c>
      <c r="M19" s="17">
        <v>1013.4066600000001</v>
      </c>
      <c r="N19" s="26">
        <v>308</v>
      </c>
      <c r="O19" s="19">
        <v>0.95801411071774623</v>
      </c>
      <c r="P19" s="19">
        <f t="shared" si="1"/>
        <v>1.120652015718236</v>
      </c>
      <c r="Q19" s="18"/>
      <c r="R19" s="26">
        <v>1213200</v>
      </c>
      <c r="S19" s="19"/>
      <c r="T19" s="18"/>
      <c r="U19" s="18"/>
    </row>
    <row r="20" spans="1:21" x14ac:dyDescent="0.25">
      <c r="A20" t="s">
        <v>19</v>
      </c>
      <c r="B20" s="16">
        <v>2.5002684000000004</v>
      </c>
      <c r="C20" s="16">
        <v>1.2159138654892094</v>
      </c>
      <c r="D20" s="6">
        <v>635.06817360000014</v>
      </c>
      <c r="E20" s="16">
        <v>0.60035550938312088</v>
      </c>
      <c r="G20" s="18"/>
      <c r="H20" s="25" t="s">
        <v>19</v>
      </c>
      <c r="I20" s="19">
        <v>2.5002684000000004</v>
      </c>
      <c r="J20" s="19">
        <f t="shared" si="2"/>
        <v>0.76027199999999995</v>
      </c>
      <c r="K20" s="19">
        <v>1.2159138654892094</v>
      </c>
      <c r="L20" s="19">
        <f t="shared" si="0"/>
        <v>1.4982805695670212</v>
      </c>
      <c r="M20" s="17">
        <v>635.06817360000014</v>
      </c>
      <c r="N20" s="26">
        <v>193</v>
      </c>
      <c r="O20" s="19">
        <v>0.60035550938312088</v>
      </c>
      <c r="P20" s="19">
        <f t="shared" si="1"/>
        <v>0.70222675010915447</v>
      </c>
      <c r="Q20" s="18"/>
      <c r="R20" s="26">
        <v>760272</v>
      </c>
      <c r="S20" s="19"/>
      <c r="T20" s="18"/>
      <c r="U20" s="18"/>
    </row>
    <row r="21" spans="1:21" x14ac:dyDescent="0.25">
      <c r="A21" t="s">
        <v>20</v>
      </c>
      <c r="B21" s="16">
        <v>0.1595916</v>
      </c>
      <c r="C21" s="16">
        <v>7.7611523329098472E-2</v>
      </c>
      <c r="D21" s="6">
        <v>40.536266400000002</v>
      </c>
      <c r="E21" s="16">
        <v>3.832056442870984E-2</v>
      </c>
      <c r="G21" s="18"/>
      <c r="H21" s="25" t="s">
        <v>20</v>
      </c>
      <c r="I21" s="19">
        <v>0.1595916</v>
      </c>
      <c r="J21" s="19">
        <f t="shared" si="2"/>
        <v>4.8528000000000002E-2</v>
      </c>
      <c r="K21" s="19">
        <v>7.7611523329098472E-2</v>
      </c>
      <c r="L21" s="19">
        <f t="shared" si="0"/>
        <v>9.5634929972363072E-2</v>
      </c>
      <c r="M21" s="17">
        <v>40.536266400000002</v>
      </c>
      <c r="N21" s="26">
        <v>12</v>
      </c>
      <c r="O21" s="19">
        <v>3.832056442870984E-2</v>
      </c>
      <c r="P21" s="19">
        <f t="shared" si="1"/>
        <v>4.3661766846165045E-2</v>
      </c>
      <c r="Q21" s="18"/>
      <c r="R21" s="26">
        <v>48528</v>
      </c>
      <c r="S21" s="19"/>
      <c r="T21" s="18"/>
      <c r="U21" s="18"/>
    </row>
    <row r="22" spans="1:21" x14ac:dyDescent="0.25">
      <c r="A22" t="s">
        <v>21</v>
      </c>
      <c r="B22" s="16">
        <v>5.1449999999999996</v>
      </c>
      <c r="C22" s="16">
        <v>2.502082111641287</v>
      </c>
      <c r="D22" s="6">
        <v>1543.5</v>
      </c>
      <c r="E22" s="16">
        <v>1.4591326841021954</v>
      </c>
      <c r="G22" s="18"/>
      <c r="H22" s="27" t="s">
        <v>21</v>
      </c>
      <c r="I22" s="23">
        <v>5.1449999999999996</v>
      </c>
      <c r="J22" s="23">
        <f t="shared" si="2"/>
        <v>1.2468999999999999</v>
      </c>
      <c r="K22" s="23">
        <v>2.502082111641287</v>
      </c>
      <c r="L22" s="23">
        <f t="shared" si="0"/>
        <v>2.4572863951232171</v>
      </c>
      <c r="M22" s="24">
        <v>1543.5</v>
      </c>
      <c r="N22" s="27">
        <v>374</v>
      </c>
      <c r="O22" s="23">
        <v>1.4591326841021954</v>
      </c>
      <c r="P22" s="23">
        <f t="shared" si="1"/>
        <v>1.3607917333721438</v>
      </c>
      <c r="Q22" s="18"/>
      <c r="R22" s="26">
        <v>1246900</v>
      </c>
      <c r="S22" s="19"/>
      <c r="T22" s="18"/>
      <c r="U22" s="18"/>
    </row>
    <row r="23" spans="1:21" x14ac:dyDescent="0.25">
      <c r="G23" s="18"/>
      <c r="H23" s="25" t="s">
        <v>152</v>
      </c>
      <c r="I23" s="19">
        <v>205.62874319999997</v>
      </c>
      <c r="J23" s="19">
        <f>SUM(J3:J22)</f>
        <v>50.742966000000003</v>
      </c>
      <c r="K23" s="19"/>
      <c r="L23" s="19"/>
      <c r="M23" s="19">
        <v>105782.01809999996</v>
      </c>
      <c r="N23" s="19">
        <f>SUM(N3:N22)</f>
        <v>27484</v>
      </c>
      <c r="O23" s="19"/>
      <c r="P23" s="19"/>
      <c r="Q23" s="18"/>
      <c r="R23" s="18"/>
      <c r="S23" s="19"/>
      <c r="T23" s="18"/>
      <c r="U23" s="18"/>
    </row>
    <row r="24" spans="1:21" x14ac:dyDescent="0.25">
      <c r="A24" t="s">
        <v>102</v>
      </c>
      <c r="B24" s="16">
        <v>205.62874319999997</v>
      </c>
      <c r="C24" s="16">
        <v>99.999999999999972</v>
      </c>
      <c r="D24" s="16">
        <v>105782.01809999996</v>
      </c>
      <c r="E24" s="16">
        <v>100.00000000000001</v>
      </c>
      <c r="G24" s="18"/>
      <c r="H24" s="5"/>
      <c r="I24" s="5"/>
      <c r="J24" s="5"/>
      <c r="K24" s="5"/>
      <c r="L24" s="5"/>
      <c r="M24" s="5"/>
      <c r="N24" s="5"/>
      <c r="O24" s="5"/>
      <c r="P24" s="5"/>
      <c r="Q24" s="18"/>
      <c r="R24" s="18"/>
      <c r="S24" s="19"/>
      <c r="T24" s="18"/>
      <c r="U24" s="18"/>
    </row>
    <row r="25" spans="1:21" x14ac:dyDescent="0.25">
      <c r="G25" s="18"/>
      <c r="H25" s="18"/>
      <c r="I25" s="19"/>
      <c r="J25" s="19"/>
      <c r="K25" s="25"/>
      <c r="L25" s="25"/>
      <c r="M25" s="20"/>
      <c r="N25" s="20"/>
      <c r="O25" s="25"/>
      <c r="P25" s="25"/>
      <c r="Q25" s="18"/>
      <c r="R25" s="18"/>
      <c r="S25" s="19"/>
      <c r="T25" s="18"/>
      <c r="U25" s="18"/>
    </row>
    <row r="26" spans="1:21" x14ac:dyDescent="0.25">
      <c r="G26" s="18"/>
      <c r="H26" s="18"/>
      <c r="I26" s="18"/>
      <c r="J26" s="18"/>
      <c r="K26" s="18"/>
      <c r="L26" s="18"/>
      <c r="M26" s="18"/>
      <c r="N26" s="18"/>
      <c r="O26" s="18"/>
      <c r="P26" s="18"/>
      <c r="Q26" s="18"/>
      <c r="R26" s="18"/>
      <c r="S26" s="19"/>
      <c r="T26" s="18"/>
      <c r="U26" s="18"/>
    </row>
    <row r="27" spans="1:21" x14ac:dyDescent="0.25">
      <c r="G27" s="18"/>
      <c r="H27" s="18"/>
      <c r="I27" s="18"/>
      <c r="J27" s="18"/>
      <c r="K27" s="18"/>
      <c r="L27" s="18"/>
      <c r="M27" s="18"/>
      <c r="N27" s="18"/>
      <c r="O27" s="18"/>
      <c r="P27" s="18"/>
      <c r="Q27" s="18"/>
      <c r="R27" s="18"/>
      <c r="S27" s="19"/>
      <c r="T27" s="18"/>
      <c r="U27" s="18"/>
    </row>
    <row r="28" spans="1:21" x14ac:dyDescent="0.25">
      <c r="G28" s="18"/>
      <c r="H28" s="18"/>
      <c r="I28" s="18"/>
      <c r="J28" s="18"/>
      <c r="K28" s="18"/>
      <c r="L28" s="18"/>
      <c r="M28" s="18"/>
      <c r="N28" s="18"/>
      <c r="O28" s="18"/>
      <c r="P28" s="18"/>
      <c r="Q28" s="18"/>
      <c r="R28" s="18"/>
      <c r="S28" s="19"/>
      <c r="T28" s="18"/>
      <c r="U28" s="18"/>
    </row>
    <row r="29" spans="1:21" ht="45" x14ac:dyDescent="0.25">
      <c r="A29" s="1" t="s">
        <v>0</v>
      </c>
      <c r="B29" s="6" t="s">
        <v>147</v>
      </c>
      <c r="C29" s="9" t="s">
        <v>104</v>
      </c>
      <c r="D29" s="6" t="s">
        <v>148</v>
      </c>
      <c r="E29" s="9" t="s">
        <v>149</v>
      </c>
    </row>
    <row r="30" spans="1:21" x14ac:dyDescent="0.25">
      <c r="A30" t="s">
        <v>120</v>
      </c>
      <c r="B30" s="16">
        <v>48.358800000000002</v>
      </c>
      <c r="C30" s="16">
        <v>23.517529333418597</v>
      </c>
      <c r="D30" s="6">
        <v>33030.787499999999</v>
      </c>
      <c r="E30" s="16">
        <v>31.225333089008256</v>
      </c>
    </row>
    <row r="31" spans="1:21" x14ac:dyDescent="0.25">
      <c r="A31" t="s">
        <v>121</v>
      </c>
      <c r="B31" s="16">
        <v>48.358800000000002</v>
      </c>
      <c r="C31" s="16">
        <v>23.517529333418597</v>
      </c>
      <c r="D31" s="6">
        <v>33030.787499999999</v>
      </c>
      <c r="E31" s="16">
        <v>31.225333089008256</v>
      </c>
    </row>
    <row r="32" spans="1:21" x14ac:dyDescent="0.25">
      <c r="A32" t="s">
        <v>122</v>
      </c>
      <c r="B32" s="16">
        <v>10.7464</v>
      </c>
      <c r="C32" s="16">
        <v>5.2261176296485763</v>
      </c>
      <c r="D32" s="6">
        <v>7340.1750000000002</v>
      </c>
      <c r="E32" s="16">
        <v>6.9389629086685014</v>
      </c>
    </row>
    <row r="33" spans="1:5" x14ac:dyDescent="0.25">
      <c r="A33" t="s">
        <v>5</v>
      </c>
      <c r="B33" s="16">
        <v>4.0469999999999997</v>
      </c>
      <c r="C33" s="16">
        <v>1.9681100691569076</v>
      </c>
      <c r="D33" s="6">
        <v>1497.39</v>
      </c>
      <c r="E33" s="16">
        <v>1.415543044928919</v>
      </c>
    </row>
    <row r="34" spans="1:5" x14ac:dyDescent="0.25">
      <c r="A34" t="s">
        <v>6</v>
      </c>
      <c r="B34" s="16">
        <v>3.306</v>
      </c>
      <c r="C34" s="16">
        <v>1.6077518874802905</v>
      </c>
      <c r="D34" s="6">
        <v>815.48</v>
      </c>
      <c r="E34" s="16">
        <v>0.77090607141668821</v>
      </c>
    </row>
    <row r="35" spans="1:5" x14ac:dyDescent="0.25">
      <c r="A35" t="s">
        <v>7</v>
      </c>
      <c r="B35" s="16">
        <v>1.81375</v>
      </c>
      <c r="C35" s="16">
        <v>0.88205081243719807</v>
      </c>
      <c r="D35" s="6">
        <v>536.87</v>
      </c>
      <c r="E35" s="16">
        <v>0.50752482287913547</v>
      </c>
    </row>
    <row r="36" spans="1:5" x14ac:dyDescent="0.25">
      <c r="A36" t="s">
        <v>8</v>
      </c>
      <c r="B36" s="16">
        <v>3.0030000000000001</v>
      </c>
      <c r="C36" s="16">
        <v>1.4603989467947105</v>
      </c>
      <c r="D36" s="6">
        <v>740.74</v>
      </c>
      <c r="E36" s="16">
        <v>0.70025134073330753</v>
      </c>
    </row>
    <row r="37" spans="1:5" x14ac:dyDescent="0.25">
      <c r="A37" t="s">
        <v>9</v>
      </c>
      <c r="B37" s="16">
        <v>17.727</v>
      </c>
      <c r="C37" s="16">
        <v>8.6208765001098335</v>
      </c>
      <c r="D37" s="6">
        <v>7125</v>
      </c>
      <c r="E37" s="16">
        <v>6.7355493192278209</v>
      </c>
    </row>
    <row r="38" spans="1:5" x14ac:dyDescent="0.25">
      <c r="A38" t="s">
        <v>10</v>
      </c>
      <c r="B38" s="16">
        <v>17.765000000000001</v>
      </c>
      <c r="C38" s="16">
        <v>8.6393564068624809</v>
      </c>
      <c r="D38" s="6">
        <v>5103.3999999999996</v>
      </c>
      <c r="E38" s="16">
        <v>4.8244494590522473</v>
      </c>
    </row>
    <row r="39" spans="1:5" x14ac:dyDescent="0.25">
      <c r="A39" t="s">
        <v>11</v>
      </c>
      <c r="B39" s="16">
        <v>19.896799999999999</v>
      </c>
      <c r="C39" s="16">
        <v>9.6760791756859774</v>
      </c>
      <c r="D39" s="6">
        <v>8458.7999999999993</v>
      </c>
      <c r="E39" s="16">
        <v>7.9964441517872684</v>
      </c>
    </row>
    <row r="40" spans="1:5" x14ac:dyDescent="0.25">
      <c r="A40" t="s">
        <v>12</v>
      </c>
      <c r="B40" s="16">
        <v>6.9901120800000012</v>
      </c>
      <c r="C40" s="16">
        <v>3.3993847218145135</v>
      </c>
      <c r="D40" s="6">
        <v>2010.8541599999999</v>
      </c>
      <c r="E40" s="16">
        <v>1.900941385046236</v>
      </c>
    </row>
    <row r="41" spans="1:5" x14ac:dyDescent="0.25">
      <c r="A41" t="s">
        <v>13</v>
      </c>
      <c r="B41" s="16">
        <v>1.1650186800000002</v>
      </c>
      <c r="C41" s="16">
        <v>0.56656412030241898</v>
      </c>
      <c r="D41" s="6">
        <v>335.14236000000005</v>
      </c>
      <c r="E41" s="16">
        <v>0.31682356417437274</v>
      </c>
    </row>
    <row r="42" spans="1:5" x14ac:dyDescent="0.25">
      <c r="A42" t="s">
        <v>14</v>
      </c>
      <c r="B42" s="16">
        <v>3.4950560400000006</v>
      </c>
      <c r="C42" s="16">
        <v>1.6996923609072567</v>
      </c>
      <c r="D42" s="6">
        <v>1005.4270799999999</v>
      </c>
      <c r="E42" s="16">
        <v>0.950470692523118</v>
      </c>
    </row>
    <row r="43" spans="1:5" x14ac:dyDescent="0.25">
      <c r="A43" t="s">
        <v>15</v>
      </c>
      <c r="B43" s="16">
        <v>4.1535867120000001</v>
      </c>
      <c r="C43" s="16">
        <v>2.0199446085998352</v>
      </c>
      <c r="D43" s="6">
        <v>880.81897199999992</v>
      </c>
      <c r="E43" s="16">
        <v>0.83267363189018229</v>
      </c>
    </row>
    <row r="44" spans="1:5" x14ac:dyDescent="0.25">
      <c r="A44" t="s">
        <v>16</v>
      </c>
      <c r="B44" s="16">
        <v>1.5754984080000001</v>
      </c>
      <c r="C44" s="16">
        <v>0.76618588602062709</v>
      </c>
      <c r="D44" s="6">
        <v>334.103748</v>
      </c>
      <c r="E44" s="16">
        <v>0.3158417224411037</v>
      </c>
    </row>
    <row r="45" spans="1:5" x14ac:dyDescent="0.25">
      <c r="A45" t="s">
        <v>17</v>
      </c>
      <c r="B45" s="16">
        <v>1.4322712800000004</v>
      </c>
      <c r="C45" s="16">
        <v>0.69653262365511559</v>
      </c>
      <c r="D45" s="6">
        <v>303.73068000000001</v>
      </c>
      <c r="E45" s="16">
        <v>0.28712883858282151</v>
      </c>
    </row>
    <row r="46" spans="1:5" x14ac:dyDescent="0.25">
      <c r="A46" t="s">
        <v>18</v>
      </c>
      <c r="B46" s="16">
        <v>3.9897900000000006</v>
      </c>
      <c r="C46" s="16">
        <v>1.940288083227462</v>
      </c>
      <c r="D46" s="6">
        <v>1013.4066600000001</v>
      </c>
      <c r="E46" s="16">
        <v>0.95801411071774623</v>
      </c>
    </row>
    <row r="47" spans="1:5" x14ac:dyDescent="0.25">
      <c r="A47" t="s">
        <v>19</v>
      </c>
      <c r="B47" s="16">
        <v>2.5002684000000004</v>
      </c>
      <c r="C47" s="16">
        <v>1.2159138654892094</v>
      </c>
      <c r="D47" s="6">
        <v>635.06817360000014</v>
      </c>
      <c r="E47" s="16">
        <v>0.60035550938312088</v>
      </c>
    </row>
    <row r="48" spans="1:5" x14ac:dyDescent="0.25">
      <c r="A48" t="s">
        <v>20</v>
      </c>
      <c r="B48" s="16">
        <v>0.1595916</v>
      </c>
      <c r="C48" s="16">
        <v>7.7611523329098472E-2</v>
      </c>
      <c r="D48" s="6">
        <v>40.536266400000002</v>
      </c>
      <c r="E48" s="16">
        <v>3.832056442870984E-2</v>
      </c>
    </row>
    <row r="49" spans="1:5" x14ac:dyDescent="0.25">
      <c r="A49" t="s">
        <v>21</v>
      </c>
      <c r="B49" s="16">
        <v>5.1449999999999996</v>
      </c>
      <c r="C49" s="16">
        <v>2.502082111641287</v>
      </c>
      <c r="D49" s="6">
        <v>1543.5</v>
      </c>
      <c r="E49" s="16">
        <v>1.4591326841021954</v>
      </c>
    </row>
    <row r="51" spans="1:5" x14ac:dyDescent="0.25">
      <c r="A51" t="s">
        <v>102</v>
      </c>
      <c r="B51" s="16">
        <v>205.62874319999997</v>
      </c>
      <c r="C51" s="16">
        <v>99.999999999999972</v>
      </c>
      <c r="D51" s="16">
        <v>105782.01809999996</v>
      </c>
      <c r="E51" s="16">
        <v>100.00000000000001</v>
      </c>
    </row>
  </sheetData>
  <mergeCells count="4">
    <mergeCell ref="I1:J1"/>
    <mergeCell ref="K1:L1"/>
    <mergeCell ref="M1:N1"/>
    <mergeCell ref="O1:P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05EF7-80A1-49D6-9D88-3229A4F4EF55}">
  <dimension ref="A1:C39"/>
  <sheetViews>
    <sheetView workbookViewId="0">
      <selection activeCell="A37" sqref="A37"/>
    </sheetView>
  </sheetViews>
  <sheetFormatPr defaultRowHeight="15" x14ac:dyDescent="0.25"/>
  <cols>
    <col min="1" max="1" width="30.42578125" customWidth="1"/>
    <col min="2" max="2" width="18.28515625" customWidth="1"/>
    <col min="3" max="3" width="61.85546875" customWidth="1"/>
  </cols>
  <sheetData>
    <row r="1" spans="1:3" x14ac:dyDescent="0.25">
      <c r="A1" t="s">
        <v>23</v>
      </c>
    </row>
    <row r="4" spans="1:3" x14ac:dyDescent="0.25">
      <c r="A4" s="1" t="s">
        <v>0</v>
      </c>
      <c r="B4" s="1" t="s">
        <v>1</v>
      </c>
      <c r="C4" t="s">
        <v>24</v>
      </c>
    </row>
    <row r="5" spans="1:3" x14ac:dyDescent="0.25">
      <c r="A5" t="s">
        <v>2</v>
      </c>
      <c r="B5">
        <v>38000</v>
      </c>
      <c r="C5" t="s">
        <v>31</v>
      </c>
    </row>
    <row r="6" spans="1:3" x14ac:dyDescent="0.25">
      <c r="A6" t="s">
        <v>3</v>
      </c>
      <c r="B6">
        <v>38000</v>
      </c>
      <c r="C6" t="s">
        <v>26</v>
      </c>
    </row>
    <row r="7" spans="1:3" x14ac:dyDescent="0.25">
      <c r="A7" t="s">
        <v>4</v>
      </c>
      <c r="B7">
        <v>38000</v>
      </c>
      <c r="C7" t="s">
        <v>26</v>
      </c>
    </row>
    <row r="8" spans="1:3" x14ac:dyDescent="0.25">
      <c r="A8" t="s">
        <v>5</v>
      </c>
      <c r="B8">
        <f>0.71*B7</f>
        <v>26980</v>
      </c>
      <c r="C8" s="2" t="s">
        <v>27</v>
      </c>
    </row>
    <row r="9" spans="1:3" x14ac:dyDescent="0.25">
      <c r="A9" t="s">
        <v>6</v>
      </c>
      <c r="B9">
        <v>11020</v>
      </c>
      <c r="C9" s="2" t="s">
        <v>28</v>
      </c>
    </row>
    <row r="10" spans="1:3" x14ac:dyDescent="0.25">
      <c r="A10" t="s">
        <v>7</v>
      </c>
      <c r="B10">
        <v>11020</v>
      </c>
      <c r="C10" s="2" t="s">
        <v>29</v>
      </c>
    </row>
    <row r="11" spans="1:3" x14ac:dyDescent="0.25">
      <c r="A11" t="s">
        <v>8</v>
      </c>
      <c r="B11">
        <v>11020</v>
      </c>
      <c r="C11" s="2" t="s">
        <v>30</v>
      </c>
    </row>
    <row r="12" spans="1:3" x14ac:dyDescent="0.25">
      <c r="A12" t="s">
        <v>9</v>
      </c>
      <c r="B12">
        <v>38000</v>
      </c>
      <c r="C12" t="s">
        <v>31</v>
      </c>
    </row>
    <row r="13" spans="1:3" x14ac:dyDescent="0.25">
      <c r="A13" t="s">
        <v>10</v>
      </c>
      <c r="B13">
        <v>38000</v>
      </c>
      <c r="C13" t="s">
        <v>31</v>
      </c>
    </row>
    <row r="14" spans="1:3" x14ac:dyDescent="0.25">
      <c r="A14" t="s">
        <v>11</v>
      </c>
      <c r="B14">
        <v>38000</v>
      </c>
      <c r="C14" t="s">
        <v>31</v>
      </c>
    </row>
    <row r="15" spans="1:3" x14ac:dyDescent="0.25">
      <c r="A15" t="s">
        <v>12</v>
      </c>
      <c r="B15">
        <v>6333</v>
      </c>
      <c r="C15" t="s">
        <v>33</v>
      </c>
    </row>
    <row r="16" spans="1:3" x14ac:dyDescent="0.25">
      <c r="A16" t="s">
        <v>13</v>
      </c>
      <c r="B16">
        <v>6333</v>
      </c>
      <c r="C16" t="s">
        <v>34</v>
      </c>
    </row>
    <row r="17" spans="1:3" x14ac:dyDescent="0.25">
      <c r="A17" t="s">
        <v>14</v>
      </c>
      <c r="B17">
        <v>6333</v>
      </c>
      <c r="C17" t="s">
        <v>35</v>
      </c>
    </row>
    <row r="18" spans="1:3" x14ac:dyDescent="0.25">
      <c r="A18" t="s">
        <v>15</v>
      </c>
      <c r="B18">
        <v>6333</v>
      </c>
      <c r="C18" t="s">
        <v>36</v>
      </c>
    </row>
    <row r="19" spans="1:3" x14ac:dyDescent="0.25">
      <c r="A19" t="s">
        <v>16</v>
      </c>
      <c r="B19">
        <v>6333</v>
      </c>
      <c r="C19" t="s">
        <v>36</v>
      </c>
    </row>
    <row r="20" spans="1:3" x14ac:dyDescent="0.25">
      <c r="A20" t="s">
        <v>17</v>
      </c>
      <c r="B20">
        <v>6333</v>
      </c>
      <c r="C20" t="s">
        <v>36</v>
      </c>
    </row>
    <row r="21" spans="1:3" x14ac:dyDescent="0.25">
      <c r="A21" t="s">
        <v>18</v>
      </c>
      <c r="B21">
        <v>6333</v>
      </c>
      <c r="C21" t="s">
        <v>36</v>
      </c>
    </row>
    <row r="22" spans="1:3" x14ac:dyDescent="0.25">
      <c r="A22" t="s">
        <v>19</v>
      </c>
      <c r="B22">
        <v>6333</v>
      </c>
      <c r="C22" t="s">
        <v>36</v>
      </c>
    </row>
    <row r="23" spans="1:3" x14ac:dyDescent="0.25">
      <c r="A23" t="s">
        <v>20</v>
      </c>
      <c r="B23">
        <v>6333</v>
      </c>
      <c r="C23" t="s">
        <v>36</v>
      </c>
    </row>
    <row r="24" spans="1:3" x14ac:dyDescent="0.25">
      <c r="A24" t="s">
        <v>21</v>
      </c>
      <c r="B24" t="s">
        <v>22</v>
      </c>
      <c r="C24" t="s">
        <v>37</v>
      </c>
    </row>
    <row r="29" spans="1:3" x14ac:dyDescent="0.25">
      <c r="A29" s="2" t="s">
        <v>25</v>
      </c>
    </row>
    <row r="30" spans="1:3" x14ac:dyDescent="0.25">
      <c r="A30" t="s">
        <v>32</v>
      </c>
    </row>
    <row r="37" spans="1:2" x14ac:dyDescent="0.25">
      <c r="A37" s="2" t="s">
        <v>41</v>
      </c>
    </row>
    <row r="38" spans="1:2" x14ac:dyDescent="0.25">
      <c r="A38" s="2" t="s">
        <v>38</v>
      </c>
      <c r="B38" t="s">
        <v>40</v>
      </c>
    </row>
    <row r="39" spans="1:2" x14ac:dyDescent="0.25">
      <c r="A39">
        <f>5300+3000+1040+770+180</f>
        <v>10290</v>
      </c>
      <c r="B39" t="s">
        <v>39</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367A7-F83F-4375-B28C-A123F9413463}">
  <dimension ref="A1:E107"/>
  <sheetViews>
    <sheetView workbookViewId="0">
      <selection sqref="A1:XFD4"/>
    </sheetView>
  </sheetViews>
  <sheetFormatPr defaultRowHeight="15" x14ac:dyDescent="0.25"/>
  <cols>
    <col min="1" max="1" width="23.7109375" customWidth="1"/>
    <col min="3" max="3" width="14.5703125" customWidth="1"/>
    <col min="4" max="4" width="42" customWidth="1"/>
  </cols>
  <sheetData>
    <row r="1" spans="1:4" ht="30" x14ac:dyDescent="0.25">
      <c r="A1" s="1" t="s">
        <v>0</v>
      </c>
      <c r="B1" s="1" t="s">
        <v>1</v>
      </c>
      <c r="C1" s="1" t="s">
        <v>42</v>
      </c>
      <c r="D1" s="1" t="s">
        <v>24</v>
      </c>
    </row>
    <row r="2" spans="1:4" x14ac:dyDescent="0.25">
      <c r="A2" t="s">
        <v>2</v>
      </c>
      <c r="B2">
        <v>38000</v>
      </c>
      <c r="C2">
        <f>10.1*0.45</f>
        <v>4.5449999999999999</v>
      </c>
      <c r="D2" t="s">
        <v>50</v>
      </c>
    </row>
    <row r="3" spans="1:4" x14ac:dyDescent="0.25">
      <c r="A3" t="s">
        <v>3</v>
      </c>
      <c r="B3">
        <v>38000</v>
      </c>
      <c r="C3">
        <v>4.5449999999999999</v>
      </c>
      <c r="D3" t="s">
        <v>51</v>
      </c>
    </row>
    <row r="4" spans="1:4" x14ac:dyDescent="0.25">
      <c r="A4" t="s">
        <v>4</v>
      </c>
      <c r="B4">
        <v>38000</v>
      </c>
      <c r="C4">
        <v>1.01</v>
      </c>
      <c r="D4" t="s">
        <v>52</v>
      </c>
    </row>
    <row r="5" spans="1:4" x14ac:dyDescent="0.25">
      <c r="A5" t="s">
        <v>5</v>
      </c>
      <c r="B5">
        <f>0.71*B4</f>
        <v>26980</v>
      </c>
      <c r="C5">
        <v>1.5</v>
      </c>
      <c r="D5" t="s">
        <v>49</v>
      </c>
    </row>
    <row r="6" spans="1:4" x14ac:dyDescent="0.25">
      <c r="A6" t="s">
        <v>6</v>
      </c>
      <c r="B6">
        <v>11020</v>
      </c>
      <c r="C6">
        <v>2</v>
      </c>
      <c r="D6" t="s">
        <v>53</v>
      </c>
    </row>
    <row r="7" spans="1:4" x14ac:dyDescent="0.25">
      <c r="A7" t="s">
        <v>7</v>
      </c>
      <c r="B7">
        <v>11020</v>
      </c>
      <c r="C7" t="s">
        <v>56</v>
      </c>
      <c r="D7" t="s">
        <v>54</v>
      </c>
    </row>
    <row r="8" spans="1:4" x14ac:dyDescent="0.25">
      <c r="A8" t="s">
        <v>8</v>
      </c>
      <c r="B8">
        <v>11020</v>
      </c>
      <c r="C8" t="s">
        <v>56</v>
      </c>
      <c r="D8" t="s">
        <v>55</v>
      </c>
    </row>
    <row r="9" spans="1:4" x14ac:dyDescent="0.25">
      <c r="A9" t="s">
        <v>9</v>
      </c>
      <c r="B9">
        <v>38000</v>
      </c>
      <c r="C9">
        <v>1.5</v>
      </c>
      <c r="D9" t="s">
        <v>62</v>
      </c>
    </row>
    <row r="10" spans="1:4" x14ac:dyDescent="0.25">
      <c r="A10" t="s">
        <v>10</v>
      </c>
      <c r="B10">
        <v>38000</v>
      </c>
      <c r="C10">
        <v>1.7</v>
      </c>
      <c r="D10" t="s">
        <v>63</v>
      </c>
    </row>
    <row r="11" spans="1:4" x14ac:dyDescent="0.25">
      <c r="A11" t="s">
        <v>11</v>
      </c>
      <c r="B11">
        <v>38000</v>
      </c>
      <c r="C11">
        <v>1.4</v>
      </c>
      <c r="D11" t="s">
        <v>64</v>
      </c>
    </row>
    <row r="12" spans="1:4" x14ac:dyDescent="0.25">
      <c r="A12" t="s">
        <v>12</v>
      </c>
      <c r="B12">
        <v>6333</v>
      </c>
      <c r="C12">
        <v>4.2</v>
      </c>
      <c r="D12" t="s">
        <v>65</v>
      </c>
    </row>
    <row r="13" spans="1:4" x14ac:dyDescent="0.25">
      <c r="A13" t="s">
        <v>13</v>
      </c>
      <c r="B13">
        <v>6333</v>
      </c>
      <c r="C13">
        <v>4.2</v>
      </c>
      <c r="D13" t="s">
        <v>65</v>
      </c>
    </row>
    <row r="14" spans="1:4" x14ac:dyDescent="0.25">
      <c r="A14" t="s">
        <v>14</v>
      </c>
      <c r="B14">
        <v>6333</v>
      </c>
      <c r="C14">
        <v>4.2</v>
      </c>
      <c r="D14" t="s">
        <v>65</v>
      </c>
    </row>
    <row r="15" spans="1:4" x14ac:dyDescent="0.25">
      <c r="A15" t="s">
        <v>15</v>
      </c>
      <c r="B15">
        <v>6333</v>
      </c>
      <c r="C15">
        <v>2.2000000000000002</v>
      </c>
      <c r="D15" t="s">
        <v>66</v>
      </c>
    </row>
    <row r="16" spans="1:4" x14ac:dyDescent="0.25">
      <c r="A16" t="s">
        <v>16</v>
      </c>
      <c r="B16">
        <v>6333</v>
      </c>
      <c r="C16">
        <v>2.2000000000000002</v>
      </c>
      <c r="D16" t="s">
        <v>66</v>
      </c>
    </row>
    <row r="17" spans="1:4" x14ac:dyDescent="0.25">
      <c r="A17" t="s">
        <v>17</v>
      </c>
      <c r="B17">
        <v>6333</v>
      </c>
      <c r="C17">
        <v>2.2000000000000002</v>
      </c>
      <c r="D17" t="s">
        <v>66</v>
      </c>
    </row>
    <row r="18" spans="1:4" x14ac:dyDescent="0.25">
      <c r="A18" t="s">
        <v>18</v>
      </c>
      <c r="B18">
        <v>6333</v>
      </c>
      <c r="C18">
        <v>2.1</v>
      </c>
      <c r="D18" t="s">
        <v>67</v>
      </c>
    </row>
    <row r="19" spans="1:4" x14ac:dyDescent="0.25">
      <c r="A19" t="s">
        <v>19</v>
      </c>
      <c r="B19">
        <v>6333</v>
      </c>
      <c r="C19">
        <v>2.1</v>
      </c>
      <c r="D19" t="s">
        <v>67</v>
      </c>
    </row>
    <row r="20" spans="1:4" x14ac:dyDescent="0.25">
      <c r="A20" t="s">
        <v>20</v>
      </c>
      <c r="B20">
        <v>6333</v>
      </c>
      <c r="C20">
        <v>2.1</v>
      </c>
      <c r="D20" t="s">
        <v>67</v>
      </c>
    </row>
    <row r="21" spans="1:4" x14ac:dyDescent="0.25">
      <c r="A21" t="s">
        <v>21</v>
      </c>
      <c r="B21" t="s">
        <v>22</v>
      </c>
      <c r="C21" t="s">
        <v>22</v>
      </c>
      <c r="D21" t="s">
        <v>70</v>
      </c>
    </row>
    <row r="24" spans="1:4" x14ac:dyDescent="0.25">
      <c r="A24" s="2" t="s">
        <v>47</v>
      </c>
    </row>
    <row r="25" spans="1:4" x14ac:dyDescent="0.25">
      <c r="A25" t="s">
        <v>43</v>
      </c>
    </row>
    <row r="26" spans="1:4" x14ac:dyDescent="0.25">
      <c r="A26" t="s">
        <v>44</v>
      </c>
    </row>
    <row r="27" spans="1:4" x14ac:dyDescent="0.25">
      <c r="A27" t="s">
        <v>45</v>
      </c>
    </row>
    <row r="28" spans="1:4" x14ac:dyDescent="0.25">
      <c r="A28" t="s">
        <v>46</v>
      </c>
    </row>
    <row r="30" spans="1:4" x14ac:dyDescent="0.25">
      <c r="A30" s="2" t="s">
        <v>48</v>
      </c>
    </row>
    <row r="69" spans="1:4" x14ac:dyDescent="0.25">
      <c r="A69" s="2" t="s">
        <v>57</v>
      </c>
    </row>
    <row r="71" spans="1:4" x14ac:dyDescent="0.25">
      <c r="A71" t="s">
        <v>58</v>
      </c>
    </row>
    <row r="72" spans="1:4" x14ac:dyDescent="0.25">
      <c r="A72" t="s">
        <v>59</v>
      </c>
    </row>
    <row r="73" spans="1:4" x14ac:dyDescent="0.25">
      <c r="A73" t="s">
        <v>60</v>
      </c>
      <c r="D73">
        <f xml:space="preserve"> 220+1200+2400+6000+10200</f>
        <v>20020</v>
      </c>
    </row>
    <row r="74" spans="1:4" x14ac:dyDescent="0.25">
      <c r="A74" t="s">
        <v>61</v>
      </c>
      <c r="D74">
        <f>D73-0.5*11020</f>
        <v>14510</v>
      </c>
    </row>
    <row r="106" spans="1:5" x14ac:dyDescent="0.25">
      <c r="A106" s="2" t="s">
        <v>69</v>
      </c>
    </row>
    <row r="107" spans="1:5" x14ac:dyDescent="0.25">
      <c r="A107">
        <f>5300+3000+1040+770+180</f>
        <v>10290</v>
      </c>
      <c r="B107" t="s">
        <v>39</v>
      </c>
      <c r="D107" t="s">
        <v>68</v>
      </c>
      <c r="E107">
        <f>180+770+1040+3000+5300</f>
        <v>10290</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DBD31-6AD6-469E-B6EC-2DCFA7F1A3B2}">
  <dimension ref="A1:G107"/>
  <sheetViews>
    <sheetView workbookViewId="0">
      <selection activeCell="D17" sqref="D17"/>
    </sheetView>
  </sheetViews>
  <sheetFormatPr defaultRowHeight="15" x14ac:dyDescent="0.25"/>
  <cols>
    <col min="1" max="1" width="23.7109375" customWidth="1"/>
    <col min="3" max="4" width="14.5703125" customWidth="1"/>
    <col min="5" max="5" width="42" customWidth="1"/>
  </cols>
  <sheetData>
    <row r="1" spans="1:5" ht="45" x14ac:dyDescent="0.25">
      <c r="A1" s="1" t="s">
        <v>0</v>
      </c>
      <c r="B1" s="1" t="s">
        <v>1</v>
      </c>
      <c r="C1" s="1" t="s">
        <v>74</v>
      </c>
      <c r="D1" s="1" t="s">
        <v>73</v>
      </c>
      <c r="E1" s="1" t="s">
        <v>24</v>
      </c>
    </row>
    <row r="2" spans="1:5" x14ac:dyDescent="0.25">
      <c r="A2" t="s">
        <v>2</v>
      </c>
      <c r="B2">
        <v>38000</v>
      </c>
      <c r="C2">
        <f>10.1*0.45</f>
        <v>4.5449999999999999</v>
      </c>
      <c r="D2" s="3">
        <f>B2*C2</f>
        <v>172710</v>
      </c>
      <c r="E2" t="s">
        <v>50</v>
      </c>
    </row>
    <row r="3" spans="1:5" x14ac:dyDescent="0.25">
      <c r="A3" t="s">
        <v>3</v>
      </c>
      <c r="B3">
        <v>38000</v>
      </c>
      <c r="C3">
        <v>4.5449999999999999</v>
      </c>
      <c r="D3" s="3">
        <f t="shared" ref="D3:D6" si="0">B3*C3</f>
        <v>172710</v>
      </c>
      <c r="E3" t="s">
        <v>51</v>
      </c>
    </row>
    <row r="4" spans="1:5" x14ac:dyDescent="0.25">
      <c r="A4" t="s">
        <v>4</v>
      </c>
      <c r="B4">
        <v>38000</v>
      </c>
      <c r="C4">
        <v>1.01</v>
      </c>
      <c r="D4" s="3">
        <f t="shared" si="0"/>
        <v>38380</v>
      </c>
      <c r="E4" t="s">
        <v>52</v>
      </c>
    </row>
    <row r="5" spans="1:5" x14ac:dyDescent="0.25">
      <c r="A5" t="s">
        <v>5</v>
      </c>
      <c r="B5">
        <f>0.71*B4</f>
        <v>26980</v>
      </c>
      <c r="C5">
        <v>1.5</v>
      </c>
      <c r="D5" s="3">
        <f t="shared" si="0"/>
        <v>40470</v>
      </c>
      <c r="E5" t="s">
        <v>49</v>
      </c>
    </row>
    <row r="6" spans="1:5" x14ac:dyDescent="0.25">
      <c r="A6" t="s">
        <v>6</v>
      </c>
      <c r="B6">
        <v>11020</v>
      </c>
      <c r="C6">
        <v>2</v>
      </c>
      <c r="D6" s="3">
        <f t="shared" si="0"/>
        <v>22040</v>
      </c>
      <c r="E6" t="s">
        <v>53</v>
      </c>
    </row>
    <row r="7" spans="1:5" x14ac:dyDescent="0.25">
      <c r="A7" t="s">
        <v>7</v>
      </c>
      <c r="B7">
        <v>11020</v>
      </c>
      <c r="C7" t="s">
        <v>56</v>
      </c>
      <c r="D7" s="3">
        <v>14510</v>
      </c>
      <c r="E7" t="s">
        <v>71</v>
      </c>
    </row>
    <row r="8" spans="1:5" x14ac:dyDescent="0.25">
      <c r="A8" t="s">
        <v>8</v>
      </c>
      <c r="B8">
        <v>11020</v>
      </c>
      <c r="C8" t="s">
        <v>56</v>
      </c>
      <c r="D8" s="3">
        <v>20020</v>
      </c>
      <c r="E8" t="s">
        <v>72</v>
      </c>
    </row>
    <row r="9" spans="1:5" x14ac:dyDescent="0.25">
      <c r="A9" t="s">
        <v>9</v>
      </c>
      <c r="B9">
        <v>38000</v>
      </c>
      <c r="C9">
        <v>1.5</v>
      </c>
      <c r="D9" s="3">
        <f>B9*C9</f>
        <v>57000</v>
      </c>
      <c r="E9" t="s">
        <v>62</v>
      </c>
    </row>
    <row r="10" spans="1:5" x14ac:dyDescent="0.25">
      <c r="A10" t="s">
        <v>10</v>
      </c>
      <c r="B10">
        <v>38000</v>
      </c>
      <c r="C10">
        <v>1.7</v>
      </c>
      <c r="D10" s="3">
        <f t="shared" ref="D10:D20" si="1">B10*C10</f>
        <v>64600</v>
      </c>
      <c r="E10" t="s">
        <v>63</v>
      </c>
    </row>
    <row r="11" spans="1:5" x14ac:dyDescent="0.25">
      <c r="A11" t="s">
        <v>11</v>
      </c>
      <c r="B11">
        <v>38000</v>
      </c>
      <c r="C11">
        <v>1.4</v>
      </c>
      <c r="D11" s="3">
        <f t="shared" si="1"/>
        <v>53200</v>
      </c>
      <c r="E11" t="s">
        <v>64</v>
      </c>
    </row>
    <row r="12" spans="1:5" x14ac:dyDescent="0.25">
      <c r="A12" t="s">
        <v>12</v>
      </c>
      <c r="B12">
        <v>6333</v>
      </c>
      <c r="C12">
        <v>4.2</v>
      </c>
      <c r="D12" s="3">
        <f t="shared" si="1"/>
        <v>26598.600000000002</v>
      </c>
      <c r="E12" t="s">
        <v>65</v>
      </c>
    </row>
    <row r="13" spans="1:5" x14ac:dyDescent="0.25">
      <c r="A13" t="s">
        <v>13</v>
      </c>
      <c r="B13">
        <v>6333</v>
      </c>
      <c r="C13">
        <v>4.2</v>
      </c>
      <c r="D13" s="3">
        <f t="shared" si="1"/>
        <v>26598.600000000002</v>
      </c>
      <c r="E13" t="s">
        <v>65</v>
      </c>
    </row>
    <row r="14" spans="1:5" x14ac:dyDescent="0.25">
      <c r="A14" t="s">
        <v>14</v>
      </c>
      <c r="B14">
        <v>6333</v>
      </c>
      <c r="C14">
        <v>4.2</v>
      </c>
      <c r="D14" s="3">
        <f t="shared" si="1"/>
        <v>26598.600000000002</v>
      </c>
      <c r="E14" t="s">
        <v>65</v>
      </c>
    </row>
    <row r="15" spans="1:5" x14ac:dyDescent="0.25">
      <c r="A15" t="s">
        <v>15</v>
      </c>
      <c r="B15">
        <v>6333</v>
      </c>
      <c r="C15">
        <v>2.2000000000000002</v>
      </c>
      <c r="D15" s="3">
        <f t="shared" si="1"/>
        <v>13932.6</v>
      </c>
      <c r="E15" t="s">
        <v>66</v>
      </c>
    </row>
    <row r="16" spans="1:5" x14ac:dyDescent="0.25">
      <c r="A16" t="s">
        <v>16</v>
      </c>
      <c r="B16">
        <v>6333</v>
      </c>
      <c r="C16">
        <v>2.2000000000000002</v>
      </c>
      <c r="D16" s="3">
        <f t="shared" si="1"/>
        <v>13932.6</v>
      </c>
      <c r="E16" t="s">
        <v>66</v>
      </c>
    </row>
    <row r="17" spans="1:5" x14ac:dyDescent="0.25">
      <c r="A17" t="s">
        <v>17</v>
      </c>
      <c r="B17">
        <v>6333</v>
      </c>
      <c r="C17">
        <v>2.2000000000000002</v>
      </c>
      <c r="D17" s="3">
        <f>B17*C17</f>
        <v>13932.6</v>
      </c>
      <c r="E17" t="s">
        <v>66</v>
      </c>
    </row>
    <row r="18" spans="1:5" x14ac:dyDescent="0.25">
      <c r="A18" t="s">
        <v>18</v>
      </c>
      <c r="B18">
        <v>6333</v>
      </c>
      <c r="C18">
        <v>2.1</v>
      </c>
      <c r="D18" s="3">
        <f t="shared" si="1"/>
        <v>13299.300000000001</v>
      </c>
      <c r="E18" t="s">
        <v>67</v>
      </c>
    </row>
    <row r="19" spans="1:5" x14ac:dyDescent="0.25">
      <c r="A19" t="s">
        <v>19</v>
      </c>
      <c r="B19">
        <v>6333</v>
      </c>
      <c r="C19">
        <v>2.1</v>
      </c>
      <c r="D19" s="3">
        <f t="shared" si="1"/>
        <v>13299.300000000001</v>
      </c>
      <c r="E19" t="s">
        <v>67</v>
      </c>
    </row>
    <row r="20" spans="1:5" x14ac:dyDescent="0.25">
      <c r="A20" t="s">
        <v>20</v>
      </c>
      <c r="B20">
        <v>6333</v>
      </c>
      <c r="C20">
        <v>2.1</v>
      </c>
      <c r="D20" s="3">
        <f t="shared" si="1"/>
        <v>13299.300000000001</v>
      </c>
      <c r="E20" t="s">
        <v>67</v>
      </c>
    </row>
    <row r="21" spans="1:5" x14ac:dyDescent="0.25">
      <c r="A21" t="s">
        <v>21</v>
      </c>
      <c r="B21" t="s">
        <v>22</v>
      </c>
      <c r="C21" t="s">
        <v>22</v>
      </c>
      <c r="D21" s="3">
        <v>10290</v>
      </c>
      <c r="E21" t="s">
        <v>70</v>
      </c>
    </row>
    <row r="24" spans="1:5" x14ac:dyDescent="0.25">
      <c r="A24" s="2" t="s">
        <v>47</v>
      </c>
    </row>
    <row r="25" spans="1:5" x14ac:dyDescent="0.25">
      <c r="A25" t="s">
        <v>43</v>
      </c>
    </row>
    <row r="26" spans="1:5" x14ac:dyDescent="0.25">
      <c r="A26" t="s">
        <v>44</v>
      </c>
    </row>
    <row r="27" spans="1:5" x14ac:dyDescent="0.25">
      <c r="A27" t="s">
        <v>45</v>
      </c>
    </row>
    <row r="28" spans="1:5" x14ac:dyDescent="0.25">
      <c r="A28" t="s">
        <v>46</v>
      </c>
    </row>
    <row r="30" spans="1:5" x14ac:dyDescent="0.25">
      <c r="A30" s="2" t="s">
        <v>48</v>
      </c>
    </row>
    <row r="69" spans="1:7" x14ac:dyDescent="0.25">
      <c r="A69" s="2" t="s">
        <v>57</v>
      </c>
    </row>
    <row r="71" spans="1:7" x14ac:dyDescent="0.25">
      <c r="A71" t="s">
        <v>58</v>
      </c>
    </row>
    <row r="72" spans="1:7" x14ac:dyDescent="0.25">
      <c r="A72" t="s">
        <v>59</v>
      </c>
      <c r="G72">
        <v>14510</v>
      </c>
    </row>
    <row r="73" spans="1:7" x14ac:dyDescent="0.25">
      <c r="A73" t="s">
        <v>60</v>
      </c>
      <c r="E73">
        <f xml:space="preserve"> 220+1200+2400+6000+10200</f>
        <v>20020</v>
      </c>
      <c r="G73">
        <v>20020</v>
      </c>
    </row>
    <row r="74" spans="1:7" x14ac:dyDescent="0.25">
      <c r="A74" t="s">
        <v>61</v>
      </c>
      <c r="E74">
        <f>E73-0.5*11020</f>
        <v>14510</v>
      </c>
      <c r="G74">
        <v>14510</v>
      </c>
    </row>
    <row r="106" spans="1:6" x14ac:dyDescent="0.25">
      <c r="A106" s="2" t="s">
        <v>69</v>
      </c>
    </row>
    <row r="107" spans="1:6" x14ac:dyDescent="0.25">
      <c r="A107">
        <f>5300+3000+1040+770+180</f>
        <v>10290</v>
      </c>
      <c r="B107" t="s">
        <v>39</v>
      </c>
      <c r="E107" t="s">
        <v>68</v>
      </c>
      <c r="F107">
        <f>180+770+1040+3000+5300</f>
        <v>10290</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104BD-4701-4AF4-A647-14AB5B79461D}">
  <dimension ref="A1:G195"/>
  <sheetViews>
    <sheetView workbookViewId="0">
      <selection activeCell="C9" sqref="C9"/>
    </sheetView>
  </sheetViews>
  <sheetFormatPr defaultRowHeight="15" x14ac:dyDescent="0.25"/>
  <cols>
    <col min="1" max="1" width="23.7109375" customWidth="1"/>
    <col min="3" max="4" width="14.5703125" customWidth="1"/>
    <col min="5" max="5" width="13.5703125" style="5" customWidth="1"/>
    <col min="6" max="6" width="17.42578125" customWidth="1"/>
  </cols>
  <sheetData>
    <row r="1" spans="1:6" ht="45" x14ac:dyDescent="0.25">
      <c r="A1" s="1" t="s">
        <v>0</v>
      </c>
      <c r="B1" s="1" t="s">
        <v>1</v>
      </c>
      <c r="C1" s="1" t="s">
        <v>74</v>
      </c>
      <c r="D1" s="1" t="s">
        <v>73</v>
      </c>
      <c r="E1" s="1" t="s">
        <v>75</v>
      </c>
      <c r="F1" s="1" t="s">
        <v>24</v>
      </c>
    </row>
    <row r="2" spans="1:6" x14ac:dyDescent="0.25">
      <c r="A2" t="s">
        <v>2</v>
      </c>
      <c r="B2">
        <v>38000</v>
      </c>
      <c r="C2">
        <f>10.1*0.45</f>
        <v>4.5449999999999999</v>
      </c>
      <c r="D2" s="3">
        <f>B2*C2</f>
        <v>172710</v>
      </c>
      <c r="E2" s="5">
        <v>280</v>
      </c>
      <c r="F2" t="s">
        <v>83</v>
      </c>
    </row>
    <row r="3" spans="1:6" x14ac:dyDescent="0.25">
      <c r="A3" t="s">
        <v>3</v>
      </c>
      <c r="B3">
        <v>38000</v>
      </c>
      <c r="C3">
        <v>4.5449999999999999</v>
      </c>
      <c r="D3" s="3">
        <f t="shared" ref="D3:D6" si="0">B3*C3</f>
        <v>172710</v>
      </c>
      <c r="E3" s="5">
        <v>280</v>
      </c>
      <c r="F3" t="s">
        <v>83</v>
      </c>
    </row>
    <row r="4" spans="1:6" x14ac:dyDescent="0.25">
      <c r="A4" t="s">
        <v>4</v>
      </c>
      <c r="B4">
        <v>38000</v>
      </c>
      <c r="C4">
        <v>1.01</v>
      </c>
      <c r="D4" s="3">
        <f t="shared" si="0"/>
        <v>38380</v>
      </c>
      <c r="E4" s="5">
        <v>280</v>
      </c>
      <c r="F4" t="s">
        <v>83</v>
      </c>
    </row>
    <row r="5" spans="1:6" x14ac:dyDescent="0.25">
      <c r="A5" t="s">
        <v>5</v>
      </c>
      <c r="B5">
        <f>0.71*B4</f>
        <v>26980</v>
      </c>
      <c r="C5">
        <v>1.5</v>
      </c>
      <c r="D5" s="3">
        <f t="shared" si="0"/>
        <v>40470</v>
      </c>
      <c r="E5" s="5">
        <v>100</v>
      </c>
      <c r="F5" t="s">
        <v>100</v>
      </c>
    </row>
    <row r="6" spans="1:6" x14ac:dyDescent="0.25">
      <c r="A6" t="s">
        <v>6</v>
      </c>
      <c r="B6">
        <v>11020</v>
      </c>
      <c r="C6">
        <v>2</v>
      </c>
      <c r="D6" s="3">
        <f t="shared" si="0"/>
        <v>22040</v>
      </c>
      <c r="E6" s="5">
        <v>150</v>
      </c>
      <c r="F6" t="s">
        <v>100</v>
      </c>
    </row>
    <row r="7" spans="1:6" x14ac:dyDescent="0.25">
      <c r="A7" t="s">
        <v>7</v>
      </c>
      <c r="B7">
        <v>11020</v>
      </c>
      <c r="C7" t="s">
        <v>56</v>
      </c>
      <c r="D7" s="3">
        <v>14510</v>
      </c>
      <c r="E7" s="5">
        <v>125</v>
      </c>
      <c r="F7" t="s">
        <v>100</v>
      </c>
    </row>
    <row r="8" spans="1:6" x14ac:dyDescent="0.25">
      <c r="A8" t="s">
        <v>8</v>
      </c>
      <c r="B8">
        <v>11020</v>
      </c>
      <c r="C8" t="s">
        <v>56</v>
      </c>
      <c r="D8" s="3">
        <v>20020</v>
      </c>
      <c r="E8" s="5">
        <v>150</v>
      </c>
      <c r="F8" t="s">
        <v>100</v>
      </c>
    </row>
    <row r="9" spans="1:6" x14ac:dyDescent="0.25">
      <c r="A9" t="s">
        <v>9</v>
      </c>
      <c r="B9">
        <v>38000</v>
      </c>
      <c r="C9">
        <v>1.5</v>
      </c>
      <c r="D9" s="3">
        <f>B9*C9</f>
        <v>57000</v>
      </c>
      <c r="E9" s="5">
        <v>311</v>
      </c>
      <c r="F9" t="s">
        <v>83</v>
      </c>
    </row>
    <row r="10" spans="1:6" x14ac:dyDescent="0.25">
      <c r="A10" t="s">
        <v>10</v>
      </c>
      <c r="B10">
        <v>38000</v>
      </c>
      <c r="C10">
        <v>1.7</v>
      </c>
      <c r="D10" s="3">
        <f t="shared" ref="D10:D20" si="1">B10*C10</f>
        <v>64600</v>
      </c>
      <c r="E10" s="5">
        <v>275</v>
      </c>
      <c r="F10" t="s">
        <v>83</v>
      </c>
    </row>
    <row r="11" spans="1:6" x14ac:dyDescent="0.25">
      <c r="A11" t="s">
        <v>11</v>
      </c>
      <c r="B11">
        <v>38000</v>
      </c>
      <c r="C11">
        <v>1.4</v>
      </c>
      <c r="D11" s="3">
        <f t="shared" si="1"/>
        <v>53200</v>
      </c>
      <c r="E11" s="5">
        <v>374</v>
      </c>
      <c r="F11" t="s">
        <v>83</v>
      </c>
    </row>
    <row r="12" spans="1:6" x14ac:dyDescent="0.25">
      <c r="A12" t="s">
        <v>12</v>
      </c>
      <c r="B12">
        <v>6333</v>
      </c>
      <c r="C12">
        <v>4.2</v>
      </c>
      <c r="D12" s="3">
        <f t="shared" si="1"/>
        <v>26598.600000000002</v>
      </c>
      <c r="E12" s="5">
        <v>262.8</v>
      </c>
      <c r="F12" t="s">
        <v>93</v>
      </c>
    </row>
    <row r="13" spans="1:6" x14ac:dyDescent="0.25">
      <c r="A13" t="s">
        <v>13</v>
      </c>
      <c r="B13">
        <v>6333</v>
      </c>
      <c r="C13">
        <v>4.2</v>
      </c>
      <c r="D13" s="3">
        <f t="shared" si="1"/>
        <v>26598.600000000002</v>
      </c>
      <c r="E13" s="5">
        <v>43.800000000000004</v>
      </c>
      <c r="F13" t="s">
        <v>94</v>
      </c>
    </row>
    <row r="14" spans="1:6" x14ac:dyDescent="0.25">
      <c r="A14" t="s">
        <v>14</v>
      </c>
      <c r="B14">
        <v>6333</v>
      </c>
      <c r="C14">
        <v>4.2</v>
      </c>
      <c r="D14" s="3">
        <f t="shared" si="1"/>
        <v>26598.600000000002</v>
      </c>
      <c r="E14" s="5">
        <v>131.4</v>
      </c>
      <c r="F14" t="s">
        <v>95</v>
      </c>
    </row>
    <row r="15" spans="1:6" x14ac:dyDescent="0.25">
      <c r="A15" t="s">
        <v>15</v>
      </c>
      <c r="B15">
        <v>6333</v>
      </c>
      <c r="C15">
        <v>2.2000000000000002</v>
      </c>
      <c r="D15" s="3">
        <f t="shared" si="1"/>
        <v>13932.6</v>
      </c>
      <c r="E15" s="5">
        <v>298.12</v>
      </c>
      <c r="F15" t="s">
        <v>96</v>
      </c>
    </row>
    <row r="16" spans="1:6" x14ac:dyDescent="0.25">
      <c r="A16" t="s">
        <v>16</v>
      </c>
      <c r="B16">
        <v>6333</v>
      </c>
      <c r="C16">
        <v>2.2000000000000002</v>
      </c>
      <c r="D16" s="3">
        <f t="shared" si="1"/>
        <v>13932.6</v>
      </c>
      <c r="E16" s="5">
        <v>113.08</v>
      </c>
      <c r="F16" t="s">
        <v>96</v>
      </c>
    </row>
    <row r="17" spans="1:6" x14ac:dyDescent="0.25">
      <c r="A17" t="s">
        <v>17</v>
      </c>
      <c r="B17">
        <v>6333</v>
      </c>
      <c r="C17">
        <v>2.2000000000000002</v>
      </c>
      <c r="D17" s="3">
        <f>B17*C17</f>
        <v>13932.6</v>
      </c>
      <c r="E17" s="5">
        <v>102.80000000000001</v>
      </c>
      <c r="F17" t="s">
        <v>96</v>
      </c>
    </row>
    <row r="18" spans="1:6" x14ac:dyDescent="0.25">
      <c r="A18" t="s">
        <v>18</v>
      </c>
      <c r="B18">
        <v>6333</v>
      </c>
      <c r="C18">
        <v>2.1</v>
      </c>
      <c r="D18" s="3">
        <f t="shared" si="1"/>
        <v>13299.300000000001</v>
      </c>
      <c r="E18" s="5">
        <v>300</v>
      </c>
      <c r="F18" t="s">
        <v>90</v>
      </c>
    </row>
    <row r="19" spans="1:6" x14ac:dyDescent="0.25">
      <c r="A19" t="s">
        <v>19</v>
      </c>
      <c r="B19">
        <v>6333</v>
      </c>
      <c r="C19">
        <v>2.1</v>
      </c>
      <c r="D19" s="3">
        <f t="shared" si="1"/>
        <v>13299.300000000001</v>
      </c>
      <c r="E19" s="5">
        <v>188</v>
      </c>
      <c r="F19" t="s">
        <v>97</v>
      </c>
    </row>
    <row r="20" spans="1:6" x14ac:dyDescent="0.25">
      <c r="A20" t="s">
        <v>20</v>
      </c>
      <c r="B20">
        <v>6333</v>
      </c>
      <c r="C20">
        <v>2.1</v>
      </c>
      <c r="D20" s="3">
        <f t="shared" si="1"/>
        <v>13299.300000000001</v>
      </c>
      <c r="E20" s="5">
        <v>12</v>
      </c>
      <c r="F20" t="s">
        <v>98</v>
      </c>
    </row>
    <row r="21" spans="1:6" x14ac:dyDescent="0.25">
      <c r="A21" t="s">
        <v>21</v>
      </c>
      <c r="B21" t="s">
        <v>22</v>
      </c>
      <c r="C21" t="s">
        <v>22</v>
      </c>
      <c r="D21" s="3">
        <v>10290</v>
      </c>
      <c r="E21" s="5">
        <v>500</v>
      </c>
      <c r="F21" t="s">
        <v>99</v>
      </c>
    </row>
    <row r="24" spans="1:6" x14ac:dyDescent="0.25">
      <c r="A24" s="2" t="s">
        <v>47</v>
      </c>
    </row>
    <row r="25" spans="1:6" x14ac:dyDescent="0.25">
      <c r="A25" t="s">
        <v>43</v>
      </c>
    </row>
    <row r="26" spans="1:6" x14ac:dyDescent="0.25">
      <c r="A26" t="s">
        <v>44</v>
      </c>
    </row>
    <row r="27" spans="1:6" x14ac:dyDescent="0.25">
      <c r="A27" t="s">
        <v>45</v>
      </c>
    </row>
    <row r="28" spans="1:6" x14ac:dyDescent="0.25">
      <c r="A28" t="s">
        <v>46</v>
      </c>
    </row>
    <row r="30" spans="1:6" x14ac:dyDescent="0.25">
      <c r="A30" s="2" t="s">
        <v>48</v>
      </c>
    </row>
    <row r="69" spans="1:7" x14ac:dyDescent="0.25">
      <c r="A69" s="2" t="s">
        <v>57</v>
      </c>
    </row>
    <row r="71" spans="1:7" x14ac:dyDescent="0.25">
      <c r="A71" t="s">
        <v>58</v>
      </c>
    </row>
    <row r="72" spans="1:7" x14ac:dyDescent="0.25">
      <c r="A72" t="s">
        <v>59</v>
      </c>
      <c r="G72">
        <v>14510</v>
      </c>
    </row>
    <row r="73" spans="1:7" x14ac:dyDescent="0.25">
      <c r="A73" t="s">
        <v>60</v>
      </c>
      <c r="E73" s="5">
        <f xml:space="preserve"> 220+1200+2400+6000+10200</f>
        <v>20020</v>
      </c>
      <c r="G73">
        <v>20020</v>
      </c>
    </row>
    <row r="74" spans="1:7" x14ac:dyDescent="0.25">
      <c r="A74" t="s">
        <v>61</v>
      </c>
      <c r="E74" s="5">
        <f>E73-0.5*11020</f>
        <v>14510</v>
      </c>
      <c r="G74">
        <v>14510</v>
      </c>
    </row>
    <row r="106" spans="1:6" x14ac:dyDescent="0.25">
      <c r="A106" s="2" t="s">
        <v>69</v>
      </c>
    </row>
    <row r="107" spans="1:6" x14ac:dyDescent="0.25">
      <c r="A107">
        <f>5300+3000+1040+770+180</f>
        <v>10290</v>
      </c>
      <c r="B107" t="s">
        <v>39</v>
      </c>
      <c r="E107" s="5" t="s">
        <v>68</v>
      </c>
      <c r="F107">
        <f>180+770+1040+3000+5300</f>
        <v>10290</v>
      </c>
    </row>
    <row r="136" spans="1:7" x14ac:dyDescent="0.25">
      <c r="A136" s="2" t="s">
        <v>76</v>
      </c>
    </row>
    <row r="137" spans="1:7" x14ac:dyDescent="0.25">
      <c r="F137" t="s">
        <v>84</v>
      </c>
    </row>
    <row r="138" spans="1:7" x14ac:dyDescent="0.25">
      <c r="F138" t="s">
        <v>85</v>
      </c>
    </row>
    <row r="139" spans="1:7" x14ac:dyDescent="0.25">
      <c r="F139" t="s">
        <v>86</v>
      </c>
    </row>
    <row r="140" spans="1:7" x14ac:dyDescent="0.25">
      <c r="F140" t="s">
        <v>87</v>
      </c>
      <c r="G140">
        <f>514*0.58</f>
        <v>298.12</v>
      </c>
    </row>
    <row r="141" spans="1:7" x14ac:dyDescent="0.25">
      <c r="F141" t="s">
        <v>88</v>
      </c>
      <c r="G141">
        <f>514*0.22</f>
        <v>113.08</v>
      </c>
    </row>
    <row r="142" spans="1:7" x14ac:dyDescent="0.25">
      <c r="F142" t="s">
        <v>89</v>
      </c>
      <c r="G142">
        <f>514*0.2</f>
        <v>102.80000000000001</v>
      </c>
    </row>
    <row r="143" spans="1:7" x14ac:dyDescent="0.25">
      <c r="F143" t="s">
        <v>90</v>
      </c>
      <c r="G143">
        <f>500*0.6</f>
        <v>300</v>
      </c>
    </row>
    <row r="144" spans="1:7" x14ac:dyDescent="0.25">
      <c r="F144" t="s">
        <v>91</v>
      </c>
      <c r="G144">
        <f>500*0.4*0.94</f>
        <v>188</v>
      </c>
    </row>
    <row r="145" spans="1:7" x14ac:dyDescent="0.25">
      <c r="F145" t="s">
        <v>92</v>
      </c>
      <c r="G145">
        <f>500*0.4*0.06</f>
        <v>12</v>
      </c>
    </row>
    <row r="146" spans="1:7" x14ac:dyDescent="0.25">
      <c r="F146" t="s">
        <v>21</v>
      </c>
      <c r="G146">
        <v>500</v>
      </c>
    </row>
    <row r="154" spans="1:7" x14ac:dyDescent="0.25">
      <c r="A154" s="2" t="s">
        <v>77</v>
      </c>
    </row>
    <row r="191" spans="1:1" x14ac:dyDescent="0.25">
      <c r="A191" s="2" t="s">
        <v>78</v>
      </c>
    </row>
    <row r="192" spans="1:1" x14ac:dyDescent="0.25">
      <c r="A192" s="4" t="s">
        <v>79</v>
      </c>
    </row>
    <row r="193" spans="1:1" x14ac:dyDescent="0.25">
      <c r="A193" s="4" t="s">
        <v>80</v>
      </c>
    </row>
    <row r="194" spans="1:1" x14ac:dyDescent="0.25">
      <c r="A194" s="4" t="s">
        <v>81</v>
      </c>
    </row>
    <row r="195" spans="1:1" x14ac:dyDescent="0.25">
      <c r="A195" s="4" t="s">
        <v>82</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37FE7-D189-4751-844B-A6EC9C597BF5}">
  <dimension ref="A1:J195"/>
  <sheetViews>
    <sheetView workbookViewId="0">
      <selection activeCell="J16" sqref="J16"/>
    </sheetView>
  </sheetViews>
  <sheetFormatPr defaultRowHeight="15" x14ac:dyDescent="0.25"/>
  <cols>
    <col min="1" max="1" width="23.7109375" customWidth="1"/>
    <col min="3" max="4" width="14.5703125" customWidth="1"/>
    <col min="5" max="5" width="13.5703125" style="5" customWidth="1"/>
    <col min="6" max="6" width="17.42578125" style="7" customWidth="1"/>
    <col min="8" max="8" width="8.85546875" style="8"/>
    <col min="9" max="9" width="11.7109375" customWidth="1"/>
  </cols>
  <sheetData>
    <row r="1" spans="1:10" ht="45" x14ac:dyDescent="0.25">
      <c r="A1" s="1" t="s">
        <v>0</v>
      </c>
      <c r="B1" s="1" t="s">
        <v>1</v>
      </c>
      <c r="C1" s="1" t="s">
        <v>74</v>
      </c>
      <c r="D1" s="1" t="s">
        <v>73</v>
      </c>
      <c r="E1" s="1" t="s">
        <v>75</v>
      </c>
      <c r="F1" s="6" t="s">
        <v>101</v>
      </c>
      <c r="G1" s="1" t="s">
        <v>103</v>
      </c>
      <c r="H1" s="9" t="s">
        <v>104</v>
      </c>
      <c r="J1" s="9" t="s">
        <v>104</v>
      </c>
    </row>
    <row r="2" spans="1:10" x14ac:dyDescent="0.25">
      <c r="A2" t="s">
        <v>2</v>
      </c>
      <c r="B2">
        <v>38000</v>
      </c>
      <c r="C2">
        <f>10.1*0.45</f>
        <v>4.5449999999999999</v>
      </c>
      <c r="D2" s="3">
        <f>B2*C2</f>
        <v>172710</v>
      </c>
      <c r="E2" s="5">
        <v>280</v>
      </c>
      <c r="F2" s="7">
        <f>D2*E2</f>
        <v>48358800</v>
      </c>
      <c r="G2">
        <f>F2/$F$24</f>
        <v>0.23517529333418596</v>
      </c>
      <c r="H2" s="8">
        <f>100*G2</f>
        <v>23.517529333418597</v>
      </c>
    </row>
    <row r="3" spans="1:10" x14ac:dyDescent="0.25">
      <c r="A3" t="s">
        <v>3</v>
      </c>
      <c r="B3">
        <v>38000</v>
      </c>
      <c r="C3">
        <v>4.5449999999999999</v>
      </c>
      <c r="D3" s="3">
        <f t="shared" ref="D3:D6" si="0">B3*C3</f>
        <v>172710</v>
      </c>
      <c r="E3" s="5">
        <v>280</v>
      </c>
      <c r="F3" s="7">
        <f t="shared" ref="F3:F21" si="1">D3*E3</f>
        <v>48358800</v>
      </c>
      <c r="G3">
        <f t="shared" ref="G3:G21" si="2">F3/$F$24</f>
        <v>0.23517529333418596</v>
      </c>
      <c r="H3" s="8">
        <f t="shared" ref="H3:H21" si="3">100*G3</f>
        <v>23.517529333418597</v>
      </c>
    </row>
    <row r="4" spans="1:10" x14ac:dyDescent="0.25">
      <c r="A4" t="s">
        <v>4</v>
      </c>
      <c r="B4">
        <v>38000</v>
      </c>
      <c r="C4">
        <v>1.01</v>
      </c>
      <c r="D4" s="3">
        <f t="shared" si="0"/>
        <v>38380</v>
      </c>
      <c r="E4" s="5">
        <v>280</v>
      </c>
      <c r="F4" s="7">
        <f t="shared" si="1"/>
        <v>10746400</v>
      </c>
      <c r="G4">
        <f t="shared" si="2"/>
        <v>5.2261176296485766E-2</v>
      </c>
      <c r="H4" s="8">
        <f t="shared" si="3"/>
        <v>5.2261176296485763</v>
      </c>
      <c r="I4" t="s">
        <v>105</v>
      </c>
      <c r="J4" s="8">
        <f>SUM(H2:H4)</f>
        <v>52.261176296485772</v>
      </c>
    </row>
    <row r="5" spans="1:10" x14ac:dyDescent="0.25">
      <c r="A5" t="s">
        <v>5</v>
      </c>
      <c r="B5">
        <f>0.71*B4</f>
        <v>26980</v>
      </c>
      <c r="C5">
        <v>1.5</v>
      </c>
      <c r="D5" s="3">
        <f t="shared" si="0"/>
        <v>40470</v>
      </c>
      <c r="E5" s="5">
        <v>100</v>
      </c>
      <c r="F5" s="7">
        <f t="shared" si="1"/>
        <v>4047000</v>
      </c>
      <c r="G5">
        <f t="shared" si="2"/>
        <v>1.9681100691569076E-2</v>
      </c>
      <c r="H5" s="8">
        <f t="shared" si="3"/>
        <v>1.9681100691569076</v>
      </c>
    </row>
    <row r="6" spans="1:10" x14ac:dyDescent="0.25">
      <c r="A6" t="s">
        <v>6</v>
      </c>
      <c r="B6">
        <v>11020</v>
      </c>
      <c r="C6">
        <v>2</v>
      </c>
      <c r="D6" s="3">
        <f t="shared" si="0"/>
        <v>22040</v>
      </c>
      <c r="E6" s="5">
        <v>150</v>
      </c>
      <c r="F6" s="7">
        <f t="shared" si="1"/>
        <v>3306000</v>
      </c>
      <c r="G6">
        <f t="shared" si="2"/>
        <v>1.6077518874802906E-2</v>
      </c>
      <c r="H6" s="8">
        <f t="shared" si="3"/>
        <v>1.6077518874802905</v>
      </c>
    </row>
    <row r="7" spans="1:10" x14ac:dyDescent="0.25">
      <c r="A7" t="s">
        <v>7</v>
      </c>
      <c r="B7">
        <v>11020</v>
      </c>
      <c r="C7" t="s">
        <v>56</v>
      </c>
      <c r="D7" s="3">
        <v>14510</v>
      </c>
      <c r="E7" s="5">
        <v>125</v>
      </c>
      <c r="F7" s="7">
        <f t="shared" si="1"/>
        <v>1813750</v>
      </c>
      <c r="G7">
        <f t="shared" si="2"/>
        <v>8.8205081243719809E-3</v>
      </c>
      <c r="H7" s="8">
        <f t="shared" si="3"/>
        <v>0.88205081243719807</v>
      </c>
    </row>
    <row r="8" spans="1:10" x14ac:dyDescent="0.25">
      <c r="A8" t="s">
        <v>8</v>
      </c>
      <c r="B8">
        <v>11020</v>
      </c>
      <c r="C8" t="s">
        <v>56</v>
      </c>
      <c r="D8" s="3">
        <v>20020</v>
      </c>
      <c r="E8" s="5">
        <v>150</v>
      </c>
      <c r="F8" s="7">
        <f t="shared" si="1"/>
        <v>3003000</v>
      </c>
      <c r="G8">
        <f t="shared" si="2"/>
        <v>1.4603989467947104E-2</v>
      </c>
      <c r="H8" s="8">
        <f t="shared" si="3"/>
        <v>1.4603989467947105</v>
      </c>
      <c r="I8" t="s">
        <v>106</v>
      </c>
      <c r="J8" s="8">
        <f>SUM(H5:H8)</f>
        <v>5.9183117158691072</v>
      </c>
    </row>
    <row r="9" spans="1:10" x14ac:dyDescent="0.25">
      <c r="A9" t="s">
        <v>9</v>
      </c>
      <c r="B9">
        <v>38000</v>
      </c>
      <c r="C9">
        <v>1.5</v>
      </c>
      <c r="D9" s="3">
        <f>B9*C9</f>
        <v>57000</v>
      </c>
      <c r="E9" s="5">
        <v>311</v>
      </c>
      <c r="F9" s="7">
        <f t="shared" si="1"/>
        <v>17727000</v>
      </c>
      <c r="G9">
        <f t="shared" si="2"/>
        <v>8.6208765001098336E-2</v>
      </c>
      <c r="H9" s="8">
        <f t="shared" si="3"/>
        <v>8.6208765001098335</v>
      </c>
    </row>
    <row r="10" spans="1:10" x14ac:dyDescent="0.25">
      <c r="A10" t="s">
        <v>10</v>
      </c>
      <c r="B10">
        <v>38000</v>
      </c>
      <c r="C10">
        <v>1.7</v>
      </c>
      <c r="D10" s="3">
        <f t="shared" ref="D10:D20" si="4">B10*C10</f>
        <v>64600</v>
      </c>
      <c r="E10" s="5">
        <v>275</v>
      </c>
      <c r="F10" s="7">
        <f t="shared" si="1"/>
        <v>17765000</v>
      </c>
      <c r="G10">
        <f t="shared" si="2"/>
        <v>8.6393564068624806E-2</v>
      </c>
      <c r="H10" s="8">
        <f t="shared" si="3"/>
        <v>8.6393564068624809</v>
      </c>
      <c r="I10" t="s">
        <v>107</v>
      </c>
      <c r="J10" s="8">
        <f>SUM(H9:H10)</f>
        <v>17.260232906972313</v>
      </c>
    </row>
    <row r="11" spans="1:10" x14ac:dyDescent="0.25">
      <c r="A11" t="s">
        <v>11</v>
      </c>
      <c r="B11">
        <v>38000</v>
      </c>
      <c r="C11">
        <v>1.4</v>
      </c>
      <c r="D11" s="3">
        <f t="shared" si="4"/>
        <v>53200</v>
      </c>
      <c r="E11" s="5">
        <v>374</v>
      </c>
      <c r="F11" s="7">
        <f t="shared" si="1"/>
        <v>19896800</v>
      </c>
      <c r="G11">
        <f t="shared" si="2"/>
        <v>9.6760791756859782E-2</v>
      </c>
      <c r="H11" s="8">
        <f t="shared" si="3"/>
        <v>9.6760791756859774</v>
      </c>
      <c r="I11" t="s">
        <v>108</v>
      </c>
      <c r="J11" s="8">
        <v>9.6760791756859774</v>
      </c>
    </row>
    <row r="12" spans="1:10" x14ac:dyDescent="0.25">
      <c r="A12" t="s">
        <v>12</v>
      </c>
      <c r="B12">
        <v>6333</v>
      </c>
      <c r="C12">
        <v>4.2</v>
      </c>
      <c r="D12" s="3">
        <f t="shared" si="4"/>
        <v>26598.600000000002</v>
      </c>
      <c r="E12" s="5">
        <v>262.8</v>
      </c>
      <c r="F12" s="7">
        <f t="shared" si="1"/>
        <v>6990112.080000001</v>
      </c>
      <c r="G12">
        <f t="shared" si="2"/>
        <v>3.3993847218145135E-2</v>
      </c>
      <c r="H12" s="8">
        <f t="shared" si="3"/>
        <v>3.3993847218145135</v>
      </c>
    </row>
    <row r="13" spans="1:10" x14ac:dyDescent="0.25">
      <c r="A13" t="s">
        <v>13</v>
      </c>
      <c r="B13">
        <v>6333</v>
      </c>
      <c r="C13">
        <v>4.2</v>
      </c>
      <c r="D13" s="3">
        <f t="shared" si="4"/>
        <v>26598.600000000002</v>
      </c>
      <c r="E13" s="5">
        <v>43.800000000000004</v>
      </c>
      <c r="F13" s="7">
        <f t="shared" si="1"/>
        <v>1165018.6800000002</v>
      </c>
      <c r="G13">
        <f t="shared" si="2"/>
        <v>5.6656412030241894E-3</v>
      </c>
      <c r="H13" s="8">
        <f t="shared" si="3"/>
        <v>0.56656412030241898</v>
      </c>
    </row>
    <row r="14" spans="1:10" x14ac:dyDescent="0.25">
      <c r="A14" t="s">
        <v>14</v>
      </c>
      <c r="B14">
        <v>6333</v>
      </c>
      <c r="C14">
        <v>4.2</v>
      </c>
      <c r="D14" s="3">
        <f t="shared" si="4"/>
        <v>26598.600000000002</v>
      </c>
      <c r="E14" s="5">
        <v>131.4</v>
      </c>
      <c r="F14" s="7">
        <f t="shared" si="1"/>
        <v>3495056.0400000005</v>
      </c>
      <c r="G14">
        <f t="shared" si="2"/>
        <v>1.6996923609072567E-2</v>
      </c>
      <c r="H14" s="8">
        <f t="shared" si="3"/>
        <v>1.6996923609072567</v>
      </c>
    </row>
    <row r="15" spans="1:10" x14ac:dyDescent="0.25">
      <c r="A15" t="s">
        <v>15</v>
      </c>
      <c r="B15">
        <v>6333</v>
      </c>
      <c r="C15">
        <v>2.2000000000000002</v>
      </c>
      <c r="D15" s="3">
        <f t="shared" si="4"/>
        <v>13932.6</v>
      </c>
      <c r="E15" s="5">
        <v>298.12</v>
      </c>
      <c r="F15" s="7">
        <f t="shared" si="1"/>
        <v>4153586.7120000003</v>
      </c>
      <c r="G15">
        <f t="shared" si="2"/>
        <v>2.019944608599835E-2</v>
      </c>
      <c r="H15" s="8">
        <f t="shared" si="3"/>
        <v>2.0199446085998352</v>
      </c>
    </row>
    <row r="16" spans="1:10" x14ac:dyDescent="0.25">
      <c r="A16" t="s">
        <v>16</v>
      </c>
      <c r="B16">
        <v>6333</v>
      </c>
      <c r="C16">
        <v>2.2000000000000002</v>
      </c>
      <c r="D16" s="3">
        <f t="shared" si="4"/>
        <v>13932.6</v>
      </c>
      <c r="E16" s="5">
        <v>113.08</v>
      </c>
      <c r="F16" s="7">
        <f t="shared" si="1"/>
        <v>1575498.4080000001</v>
      </c>
      <c r="G16">
        <f t="shared" si="2"/>
        <v>7.6618588602062705E-3</v>
      </c>
      <c r="H16" s="8">
        <f t="shared" si="3"/>
        <v>0.76618588602062709</v>
      </c>
    </row>
    <row r="17" spans="1:10" x14ac:dyDescent="0.25">
      <c r="A17" t="s">
        <v>17</v>
      </c>
      <c r="B17">
        <v>6333</v>
      </c>
      <c r="C17">
        <v>2.2000000000000002</v>
      </c>
      <c r="D17" s="3">
        <f>B17*C17</f>
        <v>13932.6</v>
      </c>
      <c r="E17" s="5">
        <v>102.80000000000001</v>
      </c>
      <c r="F17" s="7">
        <f t="shared" si="1"/>
        <v>1432271.2800000003</v>
      </c>
      <c r="G17">
        <f t="shared" si="2"/>
        <v>6.9653262365511562E-3</v>
      </c>
      <c r="H17" s="8">
        <f t="shared" si="3"/>
        <v>0.69653262365511559</v>
      </c>
    </row>
    <row r="18" spans="1:10" x14ac:dyDescent="0.25">
      <c r="A18" t="s">
        <v>18</v>
      </c>
      <c r="B18">
        <v>6333</v>
      </c>
      <c r="C18">
        <v>2.1</v>
      </c>
      <c r="D18" s="3">
        <f t="shared" si="4"/>
        <v>13299.300000000001</v>
      </c>
      <c r="E18" s="5">
        <v>300</v>
      </c>
      <c r="F18" s="7">
        <f t="shared" si="1"/>
        <v>3989790.0000000005</v>
      </c>
      <c r="G18">
        <f t="shared" si="2"/>
        <v>1.9402880832274622E-2</v>
      </c>
      <c r="H18" s="8">
        <f t="shared" si="3"/>
        <v>1.940288083227462</v>
      </c>
    </row>
    <row r="19" spans="1:10" x14ac:dyDescent="0.25">
      <c r="A19" t="s">
        <v>19</v>
      </c>
      <c r="B19">
        <v>6333</v>
      </c>
      <c r="C19">
        <v>2.1</v>
      </c>
      <c r="D19" s="3">
        <f t="shared" si="4"/>
        <v>13299.300000000001</v>
      </c>
      <c r="E19" s="5">
        <v>188</v>
      </c>
      <c r="F19" s="7">
        <f t="shared" si="1"/>
        <v>2500268.4000000004</v>
      </c>
      <c r="G19">
        <f t="shared" si="2"/>
        <v>1.2159138654892095E-2</v>
      </c>
      <c r="H19" s="8">
        <f t="shared" si="3"/>
        <v>1.2159138654892094</v>
      </c>
      <c r="I19" t="s">
        <v>109</v>
      </c>
      <c r="J19" s="8">
        <f>SUM(H13,H17,H19)</f>
        <v>2.4790106094467443</v>
      </c>
    </row>
    <row r="20" spans="1:10" x14ac:dyDescent="0.25">
      <c r="A20" t="s">
        <v>20</v>
      </c>
      <c r="B20">
        <v>6333</v>
      </c>
      <c r="C20">
        <v>2.1</v>
      </c>
      <c r="D20" s="3">
        <f t="shared" si="4"/>
        <v>13299.300000000001</v>
      </c>
      <c r="E20" s="5">
        <v>12</v>
      </c>
      <c r="F20" s="7">
        <f t="shared" si="1"/>
        <v>159591.6</v>
      </c>
      <c r="G20">
        <f t="shared" si="2"/>
        <v>7.7611523329098469E-4</v>
      </c>
      <c r="H20" s="8">
        <f t="shared" si="3"/>
        <v>7.7611523329098472E-2</v>
      </c>
      <c r="I20" t="s">
        <v>110</v>
      </c>
      <c r="J20" s="8">
        <f>SUM(H14,H16,H20)</f>
        <v>2.5434897702569823</v>
      </c>
    </row>
    <row r="21" spans="1:10" x14ac:dyDescent="0.25">
      <c r="A21" t="s">
        <v>21</v>
      </c>
      <c r="B21" t="s">
        <v>22</v>
      </c>
      <c r="C21" t="s">
        <v>22</v>
      </c>
      <c r="D21" s="3">
        <v>10290</v>
      </c>
      <c r="E21" s="5">
        <v>500</v>
      </c>
      <c r="F21" s="7">
        <f t="shared" si="1"/>
        <v>5145000</v>
      </c>
      <c r="G21">
        <f t="shared" si="2"/>
        <v>2.5020821116412871E-2</v>
      </c>
      <c r="H21" s="8">
        <f t="shared" si="3"/>
        <v>2.502082111641287</v>
      </c>
      <c r="I21" t="s">
        <v>111</v>
      </c>
      <c r="J21" s="8">
        <f>SUM(H12,H15,H18,H21)</f>
        <v>9.8616995252830968</v>
      </c>
    </row>
    <row r="23" spans="1:10" x14ac:dyDescent="0.25">
      <c r="A23" t="s">
        <v>102</v>
      </c>
      <c r="D23" s="3">
        <f>SUM(D2,D3,D4,D5,D6,D7,D8,D9,D10,D11,D12,D15,D18,D21)</f>
        <v>719760.5</v>
      </c>
      <c r="F23" s="7">
        <f>SUM(F2:F21)</f>
        <v>205628743.20000002</v>
      </c>
    </row>
    <row r="24" spans="1:10" x14ac:dyDescent="0.25">
      <c r="A24" s="2" t="s">
        <v>47</v>
      </c>
      <c r="F24" s="7">
        <v>205628743.20000002</v>
      </c>
    </row>
    <row r="25" spans="1:10" x14ac:dyDescent="0.25">
      <c r="A25" t="s">
        <v>43</v>
      </c>
    </row>
    <row r="26" spans="1:10" x14ac:dyDescent="0.25">
      <c r="A26" t="s">
        <v>44</v>
      </c>
    </row>
    <row r="27" spans="1:10" x14ac:dyDescent="0.25">
      <c r="A27" t="s">
        <v>45</v>
      </c>
    </row>
    <row r="28" spans="1:10" x14ac:dyDescent="0.25">
      <c r="A28" t="s">
        <v>46</v>
      </c>
    </row>
    <row r="30" spans="1:10" x14ac:dyDescent="0.25">
      <c r="A30" s="2" t="s">
        <v>48</v>
      </c>
    </row>
    <row r="69" spans="1:7" x14ac:dyDescent="0.25">
      <c r="A69" s="2" t="s">
        <v>57</v>
      </c>
    </row>
    <row r="71" spans="1:7" x14ac:dyDescent="0.25">
      <c r="A71" t="s">
        <v>58</v>
      </c>
    </row>
    <row r="72" spans="1:7" x14ac:dyDescent="0.25">
      <c r="A72" t="s">
        <v>59</v>
      </c>
      <c r="G72">
        <v>14510</v>
      </c>
    </row>
    <row r="73" spans="1:7" x14ac:dyDescent="0.25">
      <c r="A73" t="s">
        <v>60</v>
      </c>
      <c r="E73" s="5">
        <f xml:space="preserve"> 220+1200+2400+6000+10200</f>
        <v>20020</v>
      </c>
      <c r="G73">
        <v>20020</v>
      </c>
    </row>
    <row r="74" spans="1:7" x14ac:dyDescent="0.25">
      <c r="A74" t="s">
        <v>61</v>
      </c>
      <c r="E74" s="5">
        <f>E73-0.5*11020</f>
        <v>14510</v>
      </c>
      <c r="G74">
        <v>14510</v>
      </c>
    </row>
    <row r="106" spans="1:6" x14ac:dyDescent="0.25">
      <c r="A106" s="2" t="s">
        <v>69</v>
      </c>
    </row>
    <row r="107" spans="1:6" x14ac:dyDescent="0.25">
      <c r="A107">
        <f>5300+3000+1040+770+180</f>
        <v>10290</v>
      </c>
      <c r="B107" t="s">
        <v>39</v>
      </c>
      <c r="E107" s="5" t="s">
        <v>68</v>
      </c>
      <c r="F107" s="7">
        <f>180+770+1040+3000+5300</f>
        <v>10290</v>
      </c>
    </row>
    <row r="136" spans="1:7" x14ac:dyDescent="0.25">
      <c r="A136" s="2" t="s">
        <v>76</v>
      </c>
    </row>
    <row r="137" spans="1:7" x14ac:dyDescent="0.25">
      <c r="F137" s="7" t="s">
        <v>84</v>
      </c>
    </row>
    <row r="138" spans="1:7" x14ac:dyDescent="0.25">
      <c r="F138" s="7" t="s">
        <v>85</v>
      </c>
    </row>
    <row r="139" spans="1:7" x14ac:dyDescent="0.25">
      <c r="F139" s="7" t="s">
        <v>86</v>
      </c>
    </row>
    <row r="140" spans="1:7" x14ac:dyDescent="0.25">
      <c r="F140" s="7" t="s">
        <v>87</v>
      </c>
      <c r="G140">
        <f>514*0.58</f>
        <v>298.12</v>
      </c>
    </row>
    <row r="141" spans="1:7" x14ac:dyDescent="0.25">
      <c r="F141" s="7" t="s">
        <v>88</v>
      </c>
      <c r="G141">
        <f>514*0.22</f>
        <v>113.08</v>
      </c>
    </row>
    <row r="142" spans="1:7" x14ac:dyDescent="0.25">
      <c r="F142" s="7" t="s">
        <v>89</v>
      </c>
      <c r="G142">
        <f>514*0.2</f>
        <v>102.80000000000001</v>
      </c>
    </row>
    <row r="143" spans="1:7" x14ac:dyDescent="0.25">
      <c r="F143" s="7" t="s">
        <v>90</v>
      </c>
      <c r="G143">
        <f>500*0.6</f>
        <v>300</v>
      </c>
    </row>
    <row r="144" spans="1:7" x14ac:dyDescent="0.25">
      <c r="F144" s="7" t="s">
        <v>91</v>
      </c>
      <c r="G144">
        <f>500*0.4*0.94</f>
        <v>188</v>
      </c>
    </row>
    <row r="145" spans="1:7" x14ac:dyDescent="0.25">
      <c r="F145" s="7" t="s">
        <v>92</v>
      </c>
      <c r="G145">
        <f>500*0.4*0.06</f>
        <v>12</v>
      </c>
    </row>
    <row r="146" spans="1:7" x14ac:dyDescent="0.25">
      <c r="F146" s="7" t="s">
        <v>21</v>
      </c>
      <c r="G146">
        <v>500</v>
      </c>
    </row>
    <row r="154" spans="1:7" x14ac:dyDescent="0.25">
      <c r="A154" s="2" t="s">
        <v>77</v>
      </c>
    </row>
    <row r="191" spans="1:1" x14ac:dyDescent="0.25">
      <c r="A191" s="2" t="s">
        <v>78</v>
      </c>
    </row>
    <row r="192" spans="1:1" x14ac:dyDescent="0.25">
      <c r="A192" s="4" t="s">
        <v>79</v>
      </c>
    </row>
    <row r="193" spans="1:1" x14ac:dyDescent="0.25">
      <c r="A193" s="4" t="s">
        <v>80</v>
      </c>
    </row>
    <row r="194" spans="1:1" x14ac:dyDescent="0.25">
      <c r="A194" s="4" t="s">
        <v>81</v>
      </c>
    </row>
    <row r="195" spans="1:1" x14ac:dyDescent="0.25">
      <c r="A195" s="4" t="s">
        <v>82</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296AB-0480-4832-A4DC-545C68600127}">
  <dimension ref="A1:J221"/>
  <sheetViews>
    <sheetView topLeftCell="C1" workbookViewId="0">
      <selection activeCell="C1" sqref="A1:XFD4"/>
    </sheetView>
  </sheetViews>
  <sheetFormatPr defaultRowHeight="15" x14ac:dyDescent="0.25"/>
  <cols>
    <col min="1" max="1" width="23.7109375" customWidth="1"/>
    <col min="3" max="4" width="14.5703125" customWidth="1"/>
    <col min="5" max="5" width="13.5703125" style="5" customWidth="1"/>
    <col min="6" max="6" width="17.42578125" style="7" customWidth="1"/>
    <col min="8" max="8" width="8.85546875" style="8"/>
    <col min="9" max="9" width="8.85546875" style="1"/>
    <col min="10" max="10" width="17.42578125" customWidth="1"/>
  </cols>
  <sheetData>
    <row r="1" spans="1:10" ht="45" x14ac:dyDescent="0.25">
      <c r="A1" s="1" t="s">
        <v>0</v>
      </c>
      <c r="B1" s="1" t="s">
        <v>1</v>
      </c>
      <c r="C1" s="1" t="s">
        <v>74</v>
      </c>
      <c r="D1" s="1" t="s">
        <v>73</v>
      </c>
      <c r="E1" s="1" t="s">
        <v>75</v>
      </c>
      <c r="F1" s="6" t="s">
        <v>101</v>
      </c>
      <c r="G1" s="1" t="s">
        <v>103</v>
      </c>
      <c r="H1" s="9" t="s">
        <v>104</v>
      </c>
      <c r="I1" s="1" t="s">
        <v>112</v>
      </c>
      <c r="J1" t="s">
        <v>24</v>
      </c>
    </row>
    <row r="2" spans="1:10" x14ac:dyDescent="0.25">
      <c r="A2" t="s">
        <v>2</v>
      </c>
      <c r="B2">
        <v>38000</v>
      </c>
      <c r="C2">
        <f>10.1*0.45</f>
        <v>4.5449999999999999</v>
      </c>
      <c r="D2" s="3">
        <f>B2*C2</f>
        <v>172710</v>
      </c>
      <c r="E2" s="5">
        <v>280</v>
      </c>
      <c r="F2" s="7">
        <f>D2*E2</f>
        <v>48358800</v>
      </c>
      <c r="G2">
        <f>F2/$F$24</f>
        <v>0.23517529333418596</v>
      </c>
      <c r="H2" s="8">
        <f>100*G2</f>
        <v>23.517529333418597</v>
      </c>
      <c r="I2" s="1">
        <v>191.25</v>
      </c>
      <c r="J2" t="s">
        <v>114</v>
      </c>
    </row>
    <row r="3" spans="1:10" x14ac:dyDescent="0.25">
      <c r="A3" t="s">
        <v>3</v>
      </c>
      <c r="B3">
        <v>38000</v>
      </c>
      <c r="C3">
        <v>4.5449999999999999</v>
      </c>
      <c r="D3" s="3">
        <f t="shared" ref="D3:D6" si="0">B3*C3</f>
        <v>172710</v>
      </c>
      <c r="E3" s="5">
        <v>280</v>
      </c>
      <c r="F3" s="7">
        <f t="shared" ref="F3:F21" si="1">D3*E3</f>
        <v>48358800</v>
      </c>
      <c r="G3">
        <f t="shared" ref="G3:G21" si="2">F3/$F$24</f>
        <v>0.23517529333418596</v>
      </c>
      <c r="H3" s="8">
        <f t="shared" ref="H3:H21" si="3">100*G3</f>
        <v>23.517529333418597</v>
      </c>
      <c r="I3" s="1">
        <v>191.25</v>
      </c>
      <c r="J3" t="s">
        <v>114</v>
      </c>
    </row>
    <row r="4" spans="1:10" x14ac:dyDescent="0.25">
      <c r="A4" t="s">
        <v>4</v>
      </c>
      <c r="B4">
        <v>38000</v>
      </c>
      <c r="C4">
        <v>1.01</v>
      </c>
      <c r="D4" s="3">
        <f t="shared" si="0"/>
        <v>38380</v>
      </c>
      <c r="E4" s="5">
        <v>280</v>
      </c>
      <c r="F4" s="7">
        <f t="shared" si="1"/>
        <v>10746400</v>
      </c>
      <c r="G4">
        <f t="shared" si="2"/>
        <v>5.2261176296485766E-2</v>
      </c>
      <c r="H4" s="8">
        <f t="shared" si="3"/>
        <v>5.2261176296485763</v>
      </c>
      <c r="I4" s="1">
        <v>191.25</v>
      </c>
      <c r="J4" t="s">
        <v>114</v>
      </c>
    </row>
    <row r="5" spans="1:10" x14ac:dyDescent="0.25">
      <c r="A5" t="s">
        <v>5</v>
      </c>
      <c r="B5">
        <f>0.71*B4</f>
        <v>26980</v>
      </c>
      <c r="C5">
        <v>1.5</v>
      </c>
      <c r="D5" s="3">
        <f t="shared" si="0"/>
        <v>40470</v>
      </c>
      <c r="E5" s="5">
        <v>100</v>
      </c>
      <c r="F5" s="7">
        <f t="shared" si="1"/>
        <v>4047000</v>
      </c>
      <c r="G5">
        <f t="shared" si="2"/>
        <v>1.9681100691569076E-2</v>
      </c>
      <c r="H5" s="8">
        <f t="shared" si="3"/>
        <v>1.9681100691569076</v>
      </c>
      <c r="I5" s="1">
        <v>37</v>
      </c>
      <c r="J5" t="s">
        <v>114</v>
      </c>
    </row>
    <row r="6" spans="1:10" x14ac:dyDescent="0.25">
      <c r="A6" t="s">
        <v>6</v>
      </c>
      <c r="B6">
        <v>11020</v>
      </c>
      <c r="C6">
        <v>2</v>
      </c>
      <c r="D6" s="3">
        <f t="shared" si="0"/>
        <v>22040</v>
      </c>
      <c r="E6" s="5">
        <v>150</v>
      </c>
      <c r="F6" s="7">
        <f t="shared" si="1"/>
        <v>3306000</v>
      </c>
      <c r="G6">
        <f t="shared" si="2"/>
        <v>1.6077518874802906E-2</v>
      </c>
      <c r="H6" s="8">
        <f t="shared" si="3"/>
        <v>1.6077518874802905</v>
      </c>
      <c r="I6" s="1">
        <v>37</v>
      </c>
      <c r="J6" t="s">
        <v>114</v>
      </c>
    </row>
    <row r="7" spans="1:10" x14ac:dyDescent="0.25">
      <c r="A7" t="s">
        <v>7</v>
      </c>
      <c r="B7">
        <v>11020</v>
      </c>
      <c r="C7" t="s">
        <v>56</v>
      </c>
      <c r="D7" s="3">
        <v>14510</v>
      </c>
      <c r="E7" s="5">
        <v>125</v>
      </c>
      <c r="F7" s="7">
        <f t="shared" si="1"/>
        <v>1813750</v>
      </c>
      <c r="G7">
        <f t="shared" si="2"/>
        <v>8.8205081243719809E-3</v>
      </c>
      <c r="H7" s="8">
        <f t="shared" si="3"/>
        <v>0.88205081243719807</v>
      </c>
      <c r="I7" s="1">
        <v>37</v>
      </c>
      <c r="J7" t="s">
        <v>114</v>
      </c>
    </row>
    <row r="8" spans="1:10" x14ac:dyDescent="0.25">
      <c r="A8" t="s">
        <v>8</v>
      </c>
      <c r="B8">
        <v>11020</v>
      </c>
      <c r="C8" t="s">
        <v>56</v>
      </c>
      <c r="D8" s="3">
        <v>20020</v>
      </c>
      <c r="E8" s="5">
        <v>150</v>
      </c>
      <c r="F8" s="7">
        <f t="shared" si="1"/>
        <v>3003000</v>
      </c>
      <c r="G8">
        <f t="shared" si="2"/>
        <v>1.4603989467947104E-2</v>
      </c>
      <c r="H8" s="8">
        <f t="shared" si="3"/>
        <v>1.4603989467947105</v>
      </c>
      <c r="I8" s="1">
        <v>37</v>
      </c>
      <c r="J8" t="s">
        <v>114</v>
      </c>
    </row>
    <row r="9" spans="1:10" x14ac:dyDescent="0.25">
      <c r="A9" t="s">
        <v>9</v>
      </c>
      <c r="B9">
        <v>38000</v>
      </c>
      <c r="C9">
        <v>1.5</v>
      </c>
      <c r="D9" s="3">
        <f>B9*C9</f>
        <v>57000</v>
      </c>
      <c r="E9" s="5">
        <v>311</v>
      </c>
      <c r="F9" s="7">
        <f t="shared" si="1"/>
        <v>17727000</v>
      </c>
      <c r="G9">
        <f t="shared" si="2"/>
        <v>8.6208765001098336E-2</v>
      </c>
      <c r="H9" s="8">
        <f t="shared" si="3"/>
        <v>8.6208765001098335</v>
      </c>
      <c r="I9" s="1">
        <v>125</v>
      </c>
      <c r="J9" t="s">
        <v>114</v>
      </c>
    </row>
    <row r="10" spans="1:10" x14ac:dyDescent="0.25">
      <c r="A10" t="s">
        <v>10</v>
      </c>
      <c r="B10">
        <v>38000</v>
      </c>
      <c r="C10">
        <v>1.7</v>
      </c>
      <c r="D10" s="3">
        <f t="shared" ref="D10:D20" si="4">B10*C10</f>
        <v>64600</v>
      </c>
      <c r="E10" s="5">
        <v>275</v>
      </c>
      <c r="F10" s="7">
        <f t="shared" si="1"/>
        <v>17765000</v>
      </c>
      <c r="G10">
        <f t="shared" si="2"/>
        <v>8.6393564068624806E-2</v>
      </c>
      <c r="H10" s="8">
        <f t="shared" si="3"/>
        <v>8.6393564068624809</v>
      </c>
      <c r="I10" s="1">
        <v>79</v>
      </c>
      <c r="J10" t="s">
        <v>114</v>
      </c>
    </row>
    <row r="11" spans="1:10" x14ac:dyDescent="0.25">
      <c r="A11" t="s">
        <v>11</v>
      </c>
      <c r="B11">
        <v>38000</v>
      </c>
      <c r="C11">
        <v>1.4</v>
      </c>
      <c r="D11" s="3">
        <f t="shared" si="4"/>
        <v>53200</v>
      </c>
      <c r="E11" s="5">
        <v>374</v>
      </c>
      <c r="F11" s="7">
        <f t="shared" si="1"/>
        <v>19896800</v>
      </c>
      <c r="G11">
        <f t="shared" si="2"/>
        <v>9.6760791756859782E-2</v>
      </c>
      <c r="H11" s="8">
        <f t="shared" si="3"/>
        <v>9.6760791756859774</v>
      </c>
      <c r="I11" s="1">
        <v>159</v>
      </c>
      <c r="J11" t="s">
        <v>114</v>
      </c>
    </row>
    <row r="12" spans="1:10" x14ac:dyDescent="0.25">
      <c r="A12" t="s">
        <v>12</v>
      </c>
      <c r="B12">
        <v>6333</v>
      </c>
      <c r="C12">
        <v>4.2</v>
      </c>
      <c r="D12" s="3">
        <f t="shared" si="4"/>
        <v>26598.600000000002</v>
      </c>
      <c r="E12" s="5">
        <v>262.8</v>
      </c>
      <c r="F12" s="7">
        <f t="shared" si="1"/>
        <v>6990112.080000001</v>
      </c>
      <c r="G12">
        <f t="shared" si="2"/>
        <v>3.3993847218145135E-2</v>
      </c>
      <c r="H12" s="8">
        <f t="shared" si="3"/>
        <v>3.3993847218145135</v>
      </c>
      <c r="I12" s="1">
        <v>75.599999999999994</v>
      </c>
      <c r="J12" t="s">
        <v>115</v>
      </c>
    </row>
    <row r="13" spans="1:10" x14ac:dyDescent="0.25">
      <c r="A13" t="s">
        <v>13</v>
      </c>
      <c r="B13">
        <v>6333</v>
      </c>
      <c r="C13">
        <v>4.2</v>
      </c>
      <c r="D13" s="3">
        <f t="shared" si="4"/>
        <v>26598.600000000002</v>
      </c>
      <c r="E13" s="5">
        <v>43.800000000000004</v>
      </c>
      <c r="F13" s="7">
        <f t="shared" si="1"/>
        <v>1165018.6800000002</v>
      </c>
      <c r="G13">
        <f t="shared" si="2"/>
        <v>5.6656412030241894E-3</v>
      </c>
      <c r="H13" s="8">
        <f t="shared" si="3"/>
        <v>0.56656412030241898</v>
      </c>
      <c r="I13" s="1">
        <v>12.600000000000001</v>
      </c>
      <c r="J13" t="s">
        <v>115</v>
      </c>
    </row>
    <row r="14" spans="1:10" x14ac:dyDescent="0.25">
      <c r="A14" t="s">
        <v>14</v>
      </c>
      <c r="B14">
        <v>6333</v>
      </c>
      <c r="C14">
        <v>4.2</v>
      </c>
      <c r="D14" s="3">
        <f t="shared" si="4"/>
        <v>26598.600000000002</v>
      </c>
      <c r="E14" s="5">
        <v>131.4</v>
      </c>
      <c r="F14" s="7">
        <f t="shared" si="1"/>
        <v>3495056.0400000005</v>
      </c>
      <c r="G14">
        <f t="shared" si="2"/>
        <v>1.6996923609072567E-2</v>
      </c>
      <c r="H14" s="8">
        <f t="shared" si="3"/>
        <v>1.6996923609072567</v>
      </c>
      <c r="I14" s="1">
        <v>37.799999999999997</v>
      </c>
      <c r="J14" t="s">
        <v>115</v>
      </c>
    </row>
    <row r="15" spans="1:10" x14ac:dyDescent="0.25">
      <c r="A15" t="s">
        <v>15</v>
      </c>
      <c r="B15">
        <v>6333</v>
      </c>
      <c r="C15">
        <v>2.2000000000000002</v>
      </c>
      <c r="D15" s="3">
        <f t="shared" si="4"/>
        <v>13932.6</v>
      </c>
      <c r="E15" s="5">
        <v>298.12</v>
      </c>
      <c r="F15" s="7">
        <f t="shared" si="1"/>
        <v>4153586.7120000003</v>
      </c>
      <c r="G15">
        <f t="shared" si="2"/>
        <v>2.019944608599835E-2</v>
      </c>
      <c r="H15" s="8">
        <f t="shared" si="3"/>
        <v>2.0199446085998352</v>
      </c>
      <c r="I15" s="1">
        <v>63.22</v>
      </c>
      <c r="J15" t="s">
        <v>115</v>
      </c>
    </row>
    <row r="16" spans="1:10" x14ac:dyDescent="0.25">
      <c r="A16" t="s">
        <v>16</v>
      </c>
      <c r="B16">
        <v>6333</v>
      </c>
      <c r="C16">
        <v>2.2000000000000002</v>
      </c>
      <c r="D16" s="3">
        <f t="shared" si="4"/>
        <v>13932.6</v>
      </c>
      <c r="E16" s="5">
        <v>113.08</v>
      </c>
      <c r="F16" s="7">
        <f t="shared" si="1"/>
        <v>1575498.4080000001</v>
      </c>
      <c r="G16">
        <f t="shared" si="2"/>
        <v>7.6618588602062705E-3</v>
      </c>
      <c r="H16" s="8">
        <f t="shared" si="3"/>
        <v>0.76618588602062709</v>
      </c>
      <c r="I16" s="1">
        <v>23.98</v>
      </c>
      <c r="J16" t="s">
        <v>115</v>
      </c>
    </row>
    <row r="17" spans="1:10" x14ac:dyDescent="0.25">
      <c r="A17" t="s">
        <v>17</v>
      </c>
      <c r="B17">
        <v>6333</v>
      </c>
      <c r="C17">
        <v>2.2000000000000002</v>
      </c>
      <c r="D17" s="3">
        <f>B17*C17</f>
        <v>13932.6</v>
      </c>
      <c r="E17" s="5">
        <v>102.80000000000001</v>
      </c>
      <c r="F17" s="7">
        <f t="shared" si="1"/>
        <v>1432271.2800000003</v>
      </c>
      <c r="G17">
        <f t="shared" si="2"/>
        <v>6.9653262365511562E-3</v>
      </c>
      <c r="H17" s="8">
        <f t="shared" si="3"/>
        <v>0.69653262365511559</v>
      </c>
      <c r="I17" s="1">
        <v>21.8</v>
      </c>
      <c r="J17" t="s">
        <v>115</v>
      </c>
    </row>
    <row r="18" spans="1:10" x14ac:dyDescent="0.25">
      <c r="A18" t="s">
        <v>18</v>
      </c>
      <c r="B18">
        <v>6333</v>
      </c>
      <c r="C18">
        <v>2.1</v>
      </c>
      <c r="D18" s="3">
        <f t="shared" si="4"/>
        <v>13299.300000000001</v>
      </c>
      <c r="E18" s="5">
        <v>300</v>
      </c>
      <c r="F18" s="7">
        <f t="shared" si="1"/>
        <v>3989790.0000000005</v>
      </c>
      <c r="G18">
        <f t="shared" si="2"/>
        <v>1.9402880832274622E-2</v>
      </c>
      <c r="H18" s="8">
        <f t="shared" si="3"/>
        <v>1.940288083227462</v>
      </c>
      <c r="I18" s="1">
        <v>76.2</v>
      </c>
      <c r="J18" t="s">
        <v>115</v>
      </c>
    </row>
    <row r="19" spans="1:10" x14ac:dyDescent="0.25">
      <c r="A19" t="s">
        <v>19</v>
      </c>
      <c r="B19">
        <v>6333</v>
      </c>
      <c r="C19">
        <v>2.1</v>
      </c>
      <c r="D19" s="3">
        <f t="shared" si="4"/>
        <v>13299.300000000001</v>
      </c>
      <c r="E19" s="5">
        <v>188</v>
      </c>
      <c r="F19" s="7">
        <f t="shared" si="1"/>
        <v>2500268.4000000004</v>
      </c>
      <c r="G19">
        <f t="shared" si="2"/>
        <v>1.2159138654892095E-2</v>
      </c>
      <c r="H19" s="8">
        <f t="shared" si="3"/>
        <v>1.2159138654892094</v>
      </c>
      <c r="I19" s="1">
        <v>47.752000000000002</v>
      </c>
      <c r="J19" t="s">
        <v>115</v>
      </c>
    </row>
    <row r="20" spans="1:10" x14ac:dyDescent="0.25">
      <c r="A20" t="s">
        <v>20</v>
      </c>
      <c r="B20">
        <v>6333</v>
      </c>
      <c r="C20">
        <v>2.1</v>
      </c>
      <c r="D20" s="3">
        <f t="shared" si="4"/>
        <v>13299.300000000001</v>
      </c>
      <c r="E20" s="5">
        <v>12</v>
      </c>
      <c r="F20" s="7">
        <f t="shared" si="1"/>
        <v>159591.6</v>
      </c>
      <c r="G20">
        <f t="shared" si="2"/>
        <v>7.7611523329098469E-4</v>
      </c>
      <c r="H20" s="8">
        <f t="shared" si="3"/>
        <v>7.7611523329098472E-2</v>
      </c>
      <c r="I20" s="1">
        <v>3.048</v>
      </c>
      <c r="J20" t="s">
        <v>115</v>
      </c>
    </row>
    <row r="21" spans="1:10" x14ac:dyDescent="0.25">
      <c r="A21" t="s">
        <v>21</v>
      </c>
      <c r="B21" t="s">
        <v>22</v>
      </c>
      <c r="C21" t="s">
        <v>22</v>
      </c>
      <c r="D21" s="3">
        <v>10290</v>
      </c>
      <c r="E21" s="5">
        <v>500</v>
      </c>
      <c r="F21" s="7">
        <f t="shared" si="1"/>
        <v>5145000</v>
      </c>
      <c r="G21">
        <f t="shared" si="2"/>
        <v>2.5020821116412871E-2</v>
      </c>
      <c r="H21" s="8">
        <f t="shared" si="3"/>
        <v>2.502082111641287</v>
      </c>
      <c r="I21" s="1">
        <v>150</v>
      </c>
      <c r="J21" t="s">
        <v>116</v>
      </c>
    </row>
    <row r="23" spans="1:10" x14ac:dyDescent="0.25">
      <c r="A23" t="s">
        <v>102</v>
      </c>
      <c r="D23" s="3">
        <f>SUM(D2,D3,D4,D5,D6,D7,D8,D9,D10,D11,D12,D15,D18,D21)</f>
        <v>719760.5</v>
      </c>
      <c r="F23" s="7">
        <f>SUM(F2:F21)</f>
        <v>205628743.20000002</v>
      </c>
    </row>
    <row r="24" spans="1:10" x14ac:dyDescent="0.25">
      <c r="A24" s="2" t="s">
        <v>47</v>
      </c>
      <c r="F24" s="7">
        <v>205628743.20000002</v>
      </c>
    </row>
    <row r="25" spans="1:10" x14ac:dyDescent="0.25">
      <c r="A25" t="s">
        <v>43</v>
      </c>
    </row>
    <row r="26" spans="1:10" x14ac:dyDescent="0.25">
      <c r="A26" t="s">
        <v>44</v>
      </c>
    </row>
    <row r="27" spans="1:10" x14ac:dyDescent="0.25">
      <c r="A27" t="s">
        <v>45</v>
      </c>
    </row>
    <row r="28" spans="1:10" x14ac:dyDescent="0.25">
      <c r="A28" t="s">
        <v>46</v>
      </c>
    </row>
    <row r="30" spans="1:10" x14ac:dyDescent="0.25">
      <c r="A30" s="2" t="s">
        <v>48</v>
      </c>
    </row>
    <row r="69" spans="1:7" x14ac:dyDescent="0.25">
      <c r="A69" s="2" t="s">
        <v>57</v>
      </c>
    </row>
    <row r="71" spans="1:7" x14ac:dyDescent="0.25">
      <c r="A71" t="s">
        <v>58</v>
      </c>
    </row>
    <row r="72" spans="1:7" x14ac:dyDescent="0.25">
      <c r="A72" t="s">
        <v>59</v>
      </c>
      <c r="G72">
        <v>14510</v>
      </c>
    </row>
    <row r="73" spans="1:7" x14ac:dyDescent="0.25">
      <c r="A73" t="s">
        <v>60</v>
      </c>
      <c r="E73" s="5">
        <f xml:space="preserve"> 220+1200+2400+6000+10200</f>
        <v>20020</v>
      </c>
      <c r="G73">
        <v>20020</v>
      </c>
    </row>
    <row r="74" spans="1:7" x14ac:dyDescent="0.25">
      <c r="A74" t="s">
        <v>61</v>
      </c>
      <c r="E74" s="5">
        <f>E73-0.5*11020</f>
        <v>14510</v>
      </c>
      <c r="G74">
        <v>14510</v>
      </c>
    </row>
    <row r="106" spans="1:6" x14ac:dyDescent="0.25">
      <c r="A106" s="2" t="s">
        <v>69</v>
      </c>
    </row>
    <row r="107" spans="1:6" x14ac:dyDescent="0.25">
      <c r="A107">
        <f>5300+3000+1040+770+180</f>
        <v>10290</v>
      </c>
      <c r="B107" t="s">
        <v>39</v>
      </c>
      <c r="E107" s="5" t="s">
        <v>68</v>
      </c>
      <c r="F107" s="7">
        <f>180+770+1040+3000+5300</f>
        <v>10290</v>
      </c>
    </row>
    <row r="136" spans="1:7" x14ac:dyDescent="0.25">
      <c r="A136" s="2" t="s">
        <v>76</v>
      </c>
    </row>
    <row r="137" spans="1:7" x14ac:dyDescent="0.25">
      <c r="F137" s="7" t="s">
        <v>84</v>
      </c>
    </row>
    <row r="138" spans="1:7" x14ac:dyDescent="0.25">
      <c r="F138" s="7" t="s">
        <v>85</v>
      </c>
    </row>
    <row r="139" spans="1:7" x14ac:dyDescent="0.25">
      <c r="F139" s="7" t="s">
        <v>86</v>
      </c>
    </row>
    <row r="140" spans="1:7" x14ac:dyDescent="0.25">
      <c r="F140" s="7" t="s">
        <v>87</v>
      </c>
      <c r="G140">
        <f>514*0.58</f>
        <v>298.12</v>
      </c>
    </row>
    <row r="141" spans="1:7" x14ac:dyDescent="0.25">
      <c r="F141" s="7" t="s">
        <v>88</v>
      </c>
      <c r="G141">
        <f>514*0.22</f>
        <v>113.08</v>
      </c>
    </row>
    <row r="142" spans="1:7" x14ac:dyDescent="0.25">
      <c r="F142" s="7" t="s">
        <v>89</v>
      </c>
      <c r="G142">
        <f>514*0.2</f>
        <v>102.80000000000001</v>
      </c>
    </row>
    <row r="143" spans="1:7" x14ac:dyDescent="0.25">
      <c r="F143" s="7" t="s">
        <v>90</v>
      </c>
      <c r="G143">
        <f>500*0.6</f>
        <v>300</v>
      </c>
    </row>
    <row r="144" spans="1:7" x14ac:dyDescent="0.25">
      <c r="F144" s="7" t="s">
        <v>91</v>
      </c>
      <c r="G144">
        <f>500*0.4*0.94</f>
        <v>188</v>
      </c>
    </row>
    <row r="145" spans="1:7" x14ac:dyDescent="0.25">
      <c r="F145" s="7" t="s">
        <v>92</v>
      </c>
      <c r="G145">
        <f>500*0.4*0.06</f>
        <v>12</v>
      </c>
    </row>
    <row r="146" spans="1:7" x14ac:dyDescent="0.25">
      <c r="F146" s="7" t="s">
        <v>21</v>
      </c>
      <c r="G146">
        <v>500</v>
      </c>
    </row>
    <row r="154" spans="1:7" x14ac:dyDescent="0.25">
      <c r="A154" s="2" t="s">
        <v>77</v>
      </c>
    </row>
    <row r="191" spans="1:1" x14ac:dyDescent="0.25">
      <c r="A191" s="2" t="s">
        <v>78</v>
      </c>
    </row>
    <row r="192" spans="1:1" x14ac:dyDescent="0.25">
      <c r="A192" s="4" t="s">
        <v>79</v>
      </c>
    </row>
    <row r="193" spans="1:1" x14ac:dyDescent="0.25">
      <c r="A193" s="4" t="s">
        <v>80</v>
      </c>
    </row>
    <row r="194" spans="1:1" x14ac:dyDescent="0.25">
      <c r="A194" s="4" t="s">
        <v>81</v>
      </c>
    </row>
    <row r="195" spans="1:1" x14ac:dyDescent="0.25">
      <c r="A195" s="4" t="s">
        <v>82</v>
      </c>
    </row>
    <row r="221" spans="1:1" x14ac:dyDescent="0.25">
      <c r="A221" s="2" t="s">
        <v>113</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414DD-0B85-4503-AA27-11F879219F61}">
  <dimension ref="A1:O221"/>
  <sheetViews>
    <sheetView workbookViewId="0">
      <selection sqref="A1:XFD4"/>
    </sheetView>
  </sheetViews>
  <sheetFormatPr defaultRowHeight="15" x14ac:dyDescent="0.25"/>
  <cols>
    <col min="1" max="1" width="23.7109375" customWidth="1"/>
    <col min="3" max="4" width="14.5703125" customWidth="1"/>
    <col min="5" max="5" width="13.5703125" style="5" customWidth="1"/>
    <col min="6" max="6" width="17.42578125" style="7" customWidth="1"/>
    <col min="8" max="8" width="8.85546875" style="8"/>
    <col min="9" max="9" width="8.85546875" style="1"/>
    <col min="10" max="10" width="11.7109375" style="6" customWidth="1"/>
    <col min="11" max="11" width="15.28515625" customWidth="1"/>
    <col min="12" max="12" width="8.85546875" style="8"/>
    <col min="13" max="13" width="12" customWidth="1"/>
    <col min="14" max="14" width="12.42578125" customWidth="1"/>
  </cols>
  <sheetData>
    <row r="1" spans="1:15" ht="60" x14ac:dyDescent="0.25">
      <c r="A1" s="1" t="s">
        <v>0</v>
      </c>
      <c r="B1" s="1" t="s">
        <v>1</v>
      </c>
      <c r="C1" s="1" t="s">
        <v>74</v>
      </c>
      <c r="D1" s="1" t="s">
        <v>73</v>
      </c>
      <c r="E1" s="1" t="s">
        <v>75</v>
      </c>
      <c r="F1" s="6" t="s">
        <v>101</v>
      </c>
      <c r="G1" s="1" t="s">
        <v>103</v>
      </c>
      <c r="H1" s="9" t="s">
        <v>104</v>
      </c>
      <c r="I1" s="1" t="s">
        <v>112</v>
      </c>
      <c r="J1" s="6" t="s">
        <v>117</v>
      </c>
      <c r="K1" s="1" t="s">
        <v>118</v>
      </c>
      <c r="L1" s="9" t="s">
        <v>119</v>
      </c>
      <c r="M1" s="1" t="s">
        <v>0</v>
      </c>
      <c r="O1" s="9" t="s">
        <v>119</v>
      </c>
    </row>
    <row r="2" spans="1:15" x14ac:dyDescent="0.25">
      <c r="A2" t="s">
        <v>2</v>
      </c>
      <c r="B2">
        <v>38000</v>
      </c>
      <c r="C2">
        <f>10.1*0.45</f>
        <v>4.5449999999999999</v>
      </c>
      <c r="D2" s="3">
        <f>B2*C2</f>
        <v>172710</v>
      </c>
      <c r="E2" s="5">
        <v>280</v>
      </c>
      <c r="F2" s="7">
        <f>D2*E2</f>
        <v>48358800</v>
      </c>
      <c r="G2">
        <f>F2/$F$24</f>
        <v>0.23517529333418596</v>
      </c>
      <c r="H2" s="8">
        <f>100*G2</f>
        <v>23.517529333418597</v>
      </c>
      <c r="I2" s="1">
        <v>191.25</v>
      </c>
      <c r="J2" s="6">
        <f>D2*I2</f>
        <v>33030787.5</v>
      </c>
      <c r="K2" s="10">
        <f>J2/$J$24</f>
        <v>0.31225333089008256</v>
      </c>
      <c r="L2" s="8">
        <f>K2*100</f>
        <v>31.225333089008256</v>
      </c>
      <c r="M2" t="s">
        <v>120</v>
      </c>
    </row>
    <row r="3" spans="1:15" x14ac:dyDescent="0.25">
      <c r="A3" t="s">
        <v>3</v>
      </c>
      <c r="B3">
        <v>38000</v>
      </c>
      <c r="C3">
        <v>4.5449999999999999</v>
      </c>
      <c r="D3" s="3">
        <f t="shared" ref="D3:D6" si="0">B3*C3</f>
        <v>172710</v>
      </c>
      <c r="E3" s="5">
        <v>280</v>
      </c>
      <c r="F3" s="7">
        <f t="shared" ref="F3:F21" si="1">D3*E3</f>
        <v>48358800</v>
      </c>
      <c r="G3">
        <f t="shared" ref="G3:G21" si="2">F3/$F$24</f>
        <v>0.23517529333418596</v>
      </c>
      <c r="H3" s="8">
        <f t="shared" ref="H3:H21" si="3">100*G3</f>
        <v>23.517529333418597</v>
      </c>
      <c r="I3" s="1">
        <v>191.25</v>
      </c>
      <c r="J3" s="6">
        <f t="shared" ref="J3:J21" si="4">D3*I3</f>
        <v>33030787.5</v>
      </c>
      <c r="K3" s="10">
        <f t="shared" ref="K3:K21" si="5">J3/$J$24</f>
        <v>0.31225333089008256</v>
      </c>
      <c r="L3" s="8">
        <f t="shared" ref="L3:L21" si="6">K3*100</f>
        <v>31.225333089008256</v>
      </c>
      <c r="M3" t="s">
        <v>121</v>
      </c>
    </row>
    <row r="4" spans="1:15" x14ac:dyDescent="0.25">
      <c r="A4" t="s">
        <v>4</v>
      </c>
      <c r="B4">
        <v>38000</v>
      </c>
      <c r="C4">
        <v>1.01</v>
      </c>
      <c r="D4" s="3">
        <f t="shared" si="0"/>
        <v>38380</v>
      </c>
      <c r="E4" s="5">
        <v>280</v>
      </c>
      <c r="F4" s="7">
        <f t="shared" si="1"/>
        <v>10746400</v>
      </c>
      <c r="G4">
        <f t="shared" si="2"/>
        <v>5.2261176296485766E-2</v>
      </c>
      <c r="H4" s="8">
        <f t="shared" si="3"/>
        <v>5.2261176296485763</v>
      </c>
      <c r="I4" s="1">
        <v>191.25</v>
      </c>
      <c r="J4" s="6">
        <f t="shared" si="4"/>
        <v>7340175</v>
      </c>
      <c r="K4" s="10">
        <f t="shared" si="5"/>
        <v>6.9389629086685015E-2</v>
      </c>
      <c r="L4" s="8">
        <f t="shared" si="6"/>
        <v>6.9389629086685014</v>
      </c>
      <c r="M4" t="s">
        <v>122</v>
      </c>
      <c r="N4" t="s">
        <v>105</v>
      </c>
      <c r="O4" s="8">
        <f>SUM(L2:L4)</f>
        <v>69.389629086685019</v>
      </c>
    </row>
    <row r="5" spans="1:15" x14ac:dyDescent="0.25">
      <c r="A5" t="s">
        <v>5</v>
      </c>
      <c r="B5">
        <f>0.71*B4</f>
        <v>26980</v>
      </c>
      <c r="C5">
        <v>1.5</v>
      </c>
      <c r="D5" s="3">
        <f t="shared" si="0"/>
        <v>40470</v>
      </c>
      <c r="E5" s="5">
        <v>100</v>
      </c>
      <c r="F5" s="7">
        <f t="shared" si="1"/>
        <v>4047000</v>
      </c>
      <c r="G5">
        <f t="shared" si="2"/>
        <v>1.9681100691569076E-2</v>
      </c>
      <c r="H5" s="8">
        <f t="shared" si="3"/>
        <v>1.9681100691569076</v>
      </c>
      <c r="I5" s="1">
        <v>37</v>
      </c>
      <c r="J5" s="6">
        <f t="shared" si="4"/>
        <v>1497390</v>
      </c>
      <c r="K5" s="10">
        <f t="shared" si="5"/>
        <v>1.4155430449289189E-2</v>
      </c>
      <c r="L5" s="8">
        <f t="shared" si="6"/>
        <v>1.415543044928919</v>
      </c>
      <c r="M5" t="s">
        <v>5</v>
      </c>
    </row>
    <row r="6" spans="1:15" x14ac:dyDescent="0.25">
      <c r="A6" t="s">
        <v>6</v>
      </c>
      <c r="B6">
        <v>11020</v>
      </c>
      <c r="C6">
        <v>2</v>
      </c>
      <c r="D6" s="3">
        <f t="shared" si="0"/>
        <v>22040</v>
      </c>
      <c r="E6" s="5">
        <v>150</v>
      </c>
      <c r="F6" s="7">
        <f t="shared" si="1"/>
        <v>3306000</v>
      </c>
      <c r="G6">
        <f t="shared" si="2"/>
        <v>1.6077518874802906E-2</v>
      </c>
      <c r="H6" s="8">
        <f t="shared" si="3"/>
        <v>1.6077518874802905</v>
      </c>
      <c r="I6" s="1">
        <v>37</v>
      </c>
      <c r="J6" s="6">
        <f t="shared" si="4"/>
        <v>815480</v>
      </c>
      <c r="K6" s="10">
        <f t="shared" si="5"/>
        <v>7.7090607141668821E-3</v>
      </c>
      <c r="L6" s="8">
        <f t="shared" si="6"/>
        <v>0.77090607141668821</v>
      </c>
      <c r="M6" t="s">
        <v>6</v>
      </c>
    </row>
    <row r="7" spans="1:15" x14ac:dyDescent="0.25">
      <c r="A7" t="s">
        <v>7</v>
      </c>
      <c r="B7">
        <v>11020</v>
      </c>
      <c r="C7" t="s">
        <v>56</v>
      </c>
      <c r="D7" s="3">
        <v>14510</v>
      </c>
      <c r="E7" s="5">
        <v>125</v>
      </c>
      <c r="F7" s="7">
        <f t="shared" si="1"/>
        <v>1813750</v>
      </c>
      <c r="G7">
        <f t="shared" si="2"/>
        <v>8.8205081243719809E-3</v>
      </c>
      <c r="H7" s="8">
        <f t="shared" si="3"/>
        <v>0.88205081243719807</v>
      </c>
      <c r="I7" s="1">
        <v>37</v>
      </c>
      <c r="J7" s="6">
        <f t="shared" si="4"/>
        <v>536870</v>
      </c>
      <c r="K7" s="10">
        <f t="shared" si="5"/>
        <v>5.0752482287913549E-3</v>
      </c>
      <c r="L7" s="8">
        <f t="shared" si="6"/>
        <v>0.50752482287913547</v>
      </c>
      <c r="M7" t="s">
        <v>7</v>
      </c>
    </row>
    <row r="8" spans="1:15" x14ac:dyDescent="0.25">
      <c r="A8" t="s">
        <v>8</v>
      </c>
      <c r="B8">
        <v>11020</v>
      </c>
      <c r="C8" t="s">
        <v>56</v>
      </c>
      <c r="D8" s="3">
        <v>20020</v>
      </c>
      <c r="E8" s="5">
        <v>150</v>
      </c>
      <c r="F8" s="7">
        <f t="shared" si="1"/>
        <v>3003000</v>
      </c>
      <c r="G8">
        <f t="shared" si="2"/>
        <v>1.4603989467947104E-2</v>
      </c>
      <c r="H8" s="8">
        <f t="shared" si="3"/>
        <v>1.4603989467947105</v>
      </c>
      <c r="I8" s="1">
        <v>37</v>
      </c>
      <c r="J8" s="6">
        <f t="shared" si="4"/>
        <v>740740</v>
      </c>
      <c r="K8" s="10">
        <f t="shared" si="5"/>
        <v>7.0025134073330754E-3</v>
      </c>
      <c r="L8" s="8">
        <f t="shared" si="6"/>
        <v>0.70025134073330753</v>
      </c>
      <c r="M8" t="s">
        <v>8</v>
      </c>
      <c r="N8" t="s">
        <v>106</v>
      </c>
      <c r="O8" s="8">
        <f>SUM(L5:L8)</f>
        <v>3.3942252799580506</v>
      </c>
    </row>
    <row r="9" spans="1:15" x14ac:dyDescent="0.25">
      <c r="A9" t="s">
        <v>9</v>
      </c>
      <c r="B9">
        <v>38000</v>
      </c>
      <c r="C9">
        <v>1.5</v>
      </c>
      <c r="D9" s="3">
        <f>B9*C9</f>
        <v>57000</v>
      </c>
      <c r="E9" s="5">
        <v>311</v>
      </c>
      <c r="F9" s="7">
        <f t="shared" si="1"/>
        <v>17727000</v>
      </c>
      <c r="G9">
        <f t="shared" si="2"/>
        <v>8.6208765001098336E-2</v>
      </c>
      <c r="H9" s="8">
        <f t="shared" si="3"/>
        <v>8.6208765001098335</v>
      </c>
      <c r="I9" s="1">
        <v>125</v>
      </c>
      <c r="J9" s="6">
        <f t="shared" si="4"/>
        <v>7125000</v>
      </c>
      <c r="K9" s="10">
        <f t="shared" si="5"/>
        <v>6.735549319227821E-2</v>
      </c>
      <c r="L9" s="8">
        <f t="shared" si="6"/>
        <v>6.7355493192278209</v>
      </c>
      <c r="M9" t="s">
        <v>9</v>
      </c>
    </row>
    <row r="10" spans="1:15" x14ac:dyDescent="0.25">
      <c r="A10" t="s">
        <v>10</v>
      </c>
      <c r="B10">
        <v>38000</v>
      </c>
      <c r="C10">
        <v>1.7</v>
      </c>
      <c r="D10" s="3">
        <f t="shared" ref="D10:D20" si="7">B10*C10</f>
        <v>64600</v>
      </c>
      <c r="E10" s="5">
        <v>275</v>
      </c>
      <c r="F10" s="7">
        <f t="shared" si="1"/>
        <v>17765000</v>
      </c>
      <c r="G10">
        <f t="shared" si="2"/>
        <v>8.6393564068624806E-2</v>
      </c>
      <c r="H10" s="8">
        <f t="shared" si="3"/>
        <v>8.6393564068624809</v>
      </c>
      <c r="I10" s="1">
        <v>79</v>
      </c>
      <c r="J10" s="6">
        <f t="shared" si="4"/>
        <v>5103400</v>
      </c>
      <c r="K10" s="10">
        <f t="shared" si="5"/>
        <v>4.824449459052247E-2</v>
      </c>
      <c r="L10" s="8">
        <f t="shared" si="6"/>
        <v>4.8244494590522473</v>
      </c>
      <c r="M10" t="s">
        <v>10</v>
      </c>
      <c r="N10" t="s">
        <v>107</v>
      </c>
      <c r="O10" s="8">
        <f>SUM(L9:L10)</f>
        <v>11.559998778280068</v>
      </c>
    </row>
    <row r="11" spans="1:15" x14ac:dyDescent="0.25">
      <c r="A11" t="s">
        <v>11</v>
      </c>
      <c r="B11">
        <v>38000</v>
      </c>
      <c r="C11">
        <v>1.4</v>
      </c>
      <c r="D11" s="3">
        <f t="shared" si="7"/>
        <v>53200</v>
      </c>
      <c r="E11" s="5">
        <v>374</v>
      </c>
      <c r="F11" s="7">
        <f t="shared" si="1"/>
        <v>19896800</v>
      </c>
      <c r="G11">
        <f t="shared" si="2"/>
        <v>9.6760791756859782E-2</v>
      </c>
      <c r="H11" s="8">
        <f t="shared" si="3"/>
        <v>9.6760791756859774</v>
      </c>
      <c r="I11" s="1">
        <v>159</v>
      </c>
      <c r="J11" s="6">
        <f t="shared" si="4"/>
        <v>8458800</v>
      </c>
      <c r="K11" s="10">
        <f t="shared" si="5"/>
        <v>7.9964441517872686E-2</v>
      </c>
      <c r="L11" s="8">
        <f t="shared" si="6"/>
        <v>7.9964441517872684</v>
      </c>
      <c r="M11" t="s">
        <v>11</v>
      </c>
      <c r="N11" t="s">
        <v>108</v>
      </c>
      <c r="O11" s="8">
        <v>7.9964441517872684</v>
      </c>
    </row>
    <row r="12" spans="1:15" x14ac:dyDescent="0.25">
      <c r="A12" t="s">
        <v>12</v>
      </c>
      <c r="B12">
        <v>6333</v>
      </c>
      <c r="C12">
        <v>4.2</v>
      </c>
      <c r="D12" s="3">
        <f t="shared" si="7"/>
        <v>26598.600000000002</v>
      </c>
      <c r="E12" s="5">
        <v>262.8</v>
      </c>
      <c r="F12" s="7">
        <f t="shared" si="1"/>
        <v>6990112.080000001</v>
      </c>
      <c r="G12">
        <f t="shared" si="2"/>
        <v>3.3993847218145135E-2</v>
      </c>
      <c r="H12" s="8">
        <f t="shared" si="3"/>
        <v>3.3993847218145135</v>
      </c>
      <c r="I12" s="1">
        <v>75.599999999999994</v>
      </c>
      <c r="J12" s="6">
        <f t="shared" si="4"/>
        <v>2010854.16</v>
      </c>
      <c r="K12" s="10">
        <f t="shared" si="5"/>
        <v>1.900941385046236E-2</v>
      </c>
      <c r="L12" s="8">
        <f t="shared" si="6"/>
        <v>1.900941385046236</v>
      </c>
      <c r="M12" t="s">
        <v>12</v>
      </c>
    </row>
    <row r="13" spans="1:15" x14ac:dyDescent="0.25">
      <c r="A13" t="s">
        <v>13</v>
      </c>
      <c r="B13">
        <v>6333</v>
      </c>
      <c r="C13">
        <v>4.2</v>
      </c>
      <c r="D13" s="3">
        <f t="shared" si="7"/>
        <v>26598.600000000002</v>
      </c>
      <c r="E13" s="5">
        <v>43.800000000000004</v>
      </c>
      <c r="F13" s="7">
        <f t="shared" si="1"/>
        <v>1165018.6800000002</v>
      </c>
      <c r="G13">
        <f t="shared" si="2"/>
        <v>5.6656412030241894E-3</v>
      </c>
      <c r="H13" s="8">
        <f t="shared" si="3"/>
        <v>0.56656412030241898</v>
      </c>
      <c r="I13" s="1">
        <v>12.600000000000001</v>
      </c>
      <c r="J13" s="6">
        <f t="shared" si="4"/>
        <v>335142.36000000004</v>
      </c>
      <c r="K13" s="10">
        <f t="shared" si="5"/>
        <v>3.1682356417437273E-3</v>
      </c>
      <c r="L13" s="8">
        <f t="shared" si="6"/>
        <v>0.31682356417437274</v>
      </c>
      <c r="M13" t="s">
        <v>13</v>
      </c>
    </row>
    <row r="14" spans="1:15" x14ac:dyDescent="0.25">
      <c r="A14" t="s">
        <v>14</v>
      </c>
      <c r="B14">
        <v>6333</v>
      </c>
      <c r="C14">
        <v>4.2</v>
      </c>
      <c r="D14" s="3">
        <f t="shared" si="7"/>
        <v>26598.600000000002</v>
      </c>
      <c r="E14" s="5">
        <v>131.4</v>
      </c>
      <c r="F14" s="7">
        <f t="shared" si="1"/>
        <v>3495056.0400000005</v>
      </c>
      <c r="G14">
        <f t="shared" si="2"/>
        <v>1.6996923609072567E-2</v>
      </c>
      <c r="H14" s="8">
        <f t="shared" si="3"/>
        <v>1.6996923609072567</v>
      </c>
      <c r="I14" s="1">
        <v>37.799999999999997</v>
      </c>
      <c r="J14" s="6">
        <f t="shared" si="4"/>
        <v>1005427.08</v>
      </c>
      <c r="K14" s="10">
        <f t="shared" si="5"/>
        <v>9.5047069252311798E-3</v>
      </c>
      <c r="L14" s="8">
        <f t="shared" si="6"/>
        <v>0.950470692523118</v>
      </c>
      <c r="M14" t="s">
        <v>14</v>
      </c>
    </row>
    <row r="15" spans="1:15" x14ac:dyDescent="0.25">
      <c r="A15" t="s">
        <v>15</v>
      </c>
      <c r="B15">
        <v>6333</v>
      </c>
      <c r="C15">
        <v>2.2000000000000002</v>
      </c>
      <c r="D15" s="3">
        <f t="shared" si="7"/>
        <v>13932.6</v>
      </c>
      <c r="E15" s="5">
        <v>298.12</v>
      </c>
      <c r="F15" s="7">
        <f t="shared" si="1"/>
        <v>4153586.7120000003</v>
      </c>
      <c r="G15">
        <f t="shared" si="2"/>
        <v>2.019944608599835E-2</v>
      </c>
      <c r="H15" s="8">
        <f t="shared" si="3"/>
        <v>2.0199446085998352</v>
      </c>
      <c r="I15" s="1">
        <v>63.22</v>
      </c>
      <c r="J15" s="6">
        <f t="shared" si="4"/>
        <v>880818.97199999995</v>
      </c>
      <c r="K15" s="10">
        <f t="shared" si="5"/>
        <v>8.3267363189018229E-3</v>
      </c>
      <c r="L15" s="8">
        <f t="shared" si="6"/>
        <v>0.83267363189018229</v>
      </c>
      <c r="M15" t="s">
        <v>15</v>
      </c>
    </row>
    <row r="16" spans="1:15" x14ac:dyDescent="0.25">
      <c r="A16" t="s">
        <v>16</v>
      </c>
      <c r="B16">
        <v>6333</v>
      </c>
      <c r="C16">
        <v>2.2000000000000002</v>
      </c>
      <c r="D16" s="3">
        <f t="shared" si="7"/>
        <v>13932.6</v>
      </c>
      <c r="E16" s="5">
        <v>113.08</v>
      </c>
      <c r="F16" s="7">
        <f t="shared" si="1"/>
        <v>1575498.4080000001</v>
      </c>
      <c r="G16">
        <f t="shared" si="2"/>
        <v>7.6618588602062705E-3</v>
      </c>
      <c r="H16" s="8">
        <f t="shared" si="3"/>
        <v>0.76618588602062709</v>
      </c>
      <c r="I16" s="1">
        <v>23.98</v>
      </c>
      <c r="J16" s="6">
        <f t="shared" si="4"/>
        <v>334103.74800000002</v>
      </c>
      <c r="K16" s="10">
        <f t="shared" si="5"/>
        <v>3.1584172244110368E-3</v>
      </c>
      <c r="L16" s="8">
        <f t="shared" si="6"/>
        <v>0.3158417224411037</v>
      </c>
      <c r="M16" t="s">
        <v>16</v>
      </c>
    </row>
    <row r="17" spans="1:15" x14ac:dyDescent="0.25">
      <c r="A17" t="s">
        <v>17</v>
      </c>
      <c r="B17">
        <v>6333</v>
      </c>
      <c r="C17">
        <v>2.2000000000000002</v>
      </c>
      <c r="D17" s="3">
        <f>B17*C17</f>
        <v>13932.6</v>
      </c>
      <c r="E17" s="5">
        <v>102.80000000000001</v>
      </c>
      <c r="F17" s="7">
        <f t="shared" si="1"/>
        <v>1432271.2800000003</v>
      </c>
      <c r="G17">
        <f t="shared" si="2"/>
        <v>6.9653262365511562E-3</v>
      </c>
      <c r="H17" s="8">
        <f t="shared" si="3"/>
        <v>0.69653262365511559</v>
      </c>
      <c r="I17" s="1">
        <v>21.8</v>
      </c>
      <c r="J17" s="6">
        <f t="shared" si="4"/>
        <v>303730.68</v>
      </c>
      <c r="K17" s="10">
        <f t="shared" si="5"/>
        <v>2.8712883858282149E-3</v>
      </c>
      <c r="L17" s="8">
        <f t="shared" si="6"/>
        <v>0.28712883858282151</v>
      </c>
      <c r="M17" t="s">
        <v>17</v>
      </c>
    </row>
    <row r="18" spans="1:15" x14ac:dyDescent="0.25">
      <c r="A18" t="s">
        <v>18</v>
      </c>
      <c r="B18">
        <v>6333</v>
      </c>
      <c r="C18">
        <v>2.1</v>
      </c>
      <c r="D18" s="3">
        <f t="shared" si="7"/>
        <v>13299.300000000001</v>
      </c>
      <c r="E18" s="5">
        <v>300</v>
      </c>
      <c r="F18" s="7">
        <f t="shared" si="1"/>
        <v>3989790.0000000005</v>
      </c>
      <c r="G18">
        <f t="shared" si="2"/>
        <v>1.9402880832274622E-2</v>
      </c>
      <c r="H18" s="8">
        <f t="shared" si="3"/>
        <v>1.940288083227462</v>
      </c>
      <c r="I18" s="1">
        <v>76.2</v>
      </c>
      <c r="J18" s="6">
        <f t="shared" si="4"/>
        <v>1013406.6600000001</v>
      </c>
      <c r="K18" s="10">
        <f t="shared" si="5"/>
        <v>9.5801411071774617E-3</v>
      </c>
      <c r="L18" s="8">
        <f t="shared" si="6"/>
        <v>0.95801411071774623</v>
      </c>
      <c r="M18" t="s">
        <v>18</v>
      </c>
    </row>
    <row r="19" spans="1:15" x14ac:dyDescent="0.25">
      <c r="A19" t="s">
        <v>19</v>
      </c>
      <c r="B19">
        <v>6333</v>
      </c>
      <c r="C19">
        <v>2.1</v>
      </c>
      <c r="D19" s="3">
        <f t="shared" si="7"/>
        <v>13299.300000000001</v>
      </c>
      <c r="E19" s="5">
        <v>188</v>
      </c>
      <c r="F19" s="7">
        <f t="shared" si="1"/>
        <v>2500268.4000000004</v>
      </c>
      <c r="G19">
        <f t="shared" si="2"/>
        <v>1.2159138654892095E-2</v>
      </c>
      <c r="H19" s="8">
        <f t="shared" si="3"/>
        <v>1.2159138654892094</v>
      </c>
      <c r="I19" s="1">
        <v>47.752000000000002</v>
      </c>
      <c r="J19" s="6">
        <f t="shared" si="4"/>
        <v>635068.1736000001</v>
      </c>
      <c r="K19" s="10">
        <f t="shared" si="5"/>
        <v>6.0035550938312091E-3</v>
      </c>
      <c r="L19" s="8">
        <f t="shared" si="6"/>
        <v>0.60035550938312088</v>
      </c>
      <c r="M19" t="s">
        <v>19</v>
      </c>
      <c r="N19" t="s">
        <v>109</v>
      </c>
      <c r="O19" s="8">
        <f>SUM(L13,L17,L19)</f>
        <v>1.2043079121403153</v>
      </c>
    </row>
    <row r="20" spans="1:15" x14ac:dyDescent="0.25">
      <c r="A20" t="s">
        <v>20</v>
      </c>
      <c r="B20">
        <v>6333</v>
      </c>
      <c r="C20">
        <v>2.1</v>
      </c>
      <c r="D20" s="3">
        <f t="shared" si="7"/>
        <v>13299.300000000001</v>
      </c>
      <c r="E20" s="5">
        <v>12</v>
      </c>
      <c r="F20" s="7">
        <f t="shared" si="1"/>
        <v>159591.6</v>
      </c>
      <c r="G20">
        <f t="shared" si="2"/>
        <v>7.7611523329098469E-4</v>
      </c>
      <c r="H20" s="8">
        <f t="shared" si="3"/>
        <v>7.7611523329098472E-2</v>
      </c>
      <c r="I20" s="1">
        <v>3.048</v>
      </c>
      <c r="J20" s="6">
        <f t="shared" si="4"/>
        <v>40536.2664</v>
      </c>
      <c r="K20" s="10">
        <f t="shared" si="5"/>
        <v>3.8320564428709841E-4</v>
      </c>
      <c r="L20" s="8">
        <f t="shared" si="6"/>
        <v>3.832056442870984E-2</v>
      </c>
      <c r="M20" t="s">
        <v>20</v>
      </c>
      <c r="N20" t="s">
        <v>110</v>
      </c>
      <c r="O20" s="8">
        <f>SUM(L14,L16,L20)</f>
        <v>1.3046329793929317</v>
      </c>
    </row>
    <row r="21" spans="1:15" x14ac:dyDescent="0.25">
      <c r="A21" t="s">
        <v>21</v>
      </c>
      <c r="B21" t="s">
        <v>22</v>
      </c>
      <c r="C21" t="s">
        <v>22</v>
      </c>
      <c r="D21" s="3">
        <v>10290</v>
      </c>
      <c r="E21" s="5">
        <v>500</v>
      </c>
      <c r="F21" s="7">
        <f t="shared" si="1"/>
        <v>5145000</v>
      </c>
      <c r="G21">
        <f t="shared" si="2"/>
        <v>2.5020821116412871E-2</v>
      </c>
      <c r="H21" s="8">
        <f t="shared" si="3"/>
        <v>2.502082111641287</v>
      </c>
      <c r="I21" s="1">
        <v>150</v>
      </c>
      <c r="J21" s="6">
        <f t="shared" si="4"/>
        <v>1543500</v>
      </c>
      <c r="K21" s="10">
        <f t="shared" si="5"/>
        <v>1.4591326841021953E-2</v>
      </c>
      <c r="L21" s="8">
        <f t="shared" si="6"/>
        <v>1.4591326841021954</v>
      </c>
      <c r="M21" t="s">
        <v>21</v>
      </c>
      <c r="N21" t="s">
        <v>123</v>
      </c>
      <c r="O21" s="8">
        <f>SUM(L12,L15,L18,L21)</f>
        <v>5.1507618117563601</v>
      </c>
    </row>
    <row r="23" spans="1:15" x14ac:dyDescent="0.25">
      <c r="A23" t="s">
        <v>102</v>
      </c>
      <c r="D23" s="3">
        <f>SUM(D2,D3,D4,D5,D6,D7,D8,D9,D10,D11,D12,D15,D18,D21)</f>
        <v>719760.5</v>
      </c>
      <c r="F23" s="7">
        <f>SUM(F2:F21)</f>
        <v>205628743.20000002</v>
      </c>
      <c r="J23" s="6">
        <f>SUM(J2:J21)</f>
        <v>105782018.09999999</v>
      </c>
      <c r="M23" t="s">
        <v>102</v>
      </c>
    </row>
    <row r="24" spans="1:15" x14ac:dyDescent="0.25">
      <c r="A24" s="2" t="s">
        <v>47</v>
      </c>
      <c r="F24" s="7">
        <v>205628743.20000002</v>
      </c>
      <c r="J24" s="6">
        <v>105782018.09999999</v>
      </c>
    </row>
    <row r="25" spans="1:15" x14ac:dyDescent="0.25">
      <c r="A25" t="s">
        <v>43</v>
      </c>
    </row>
    <row r="26" spans="1:15" x14ac:dyDescent="0.25">
      <c r="A26" t="s">
        <v>44</v>
      </c>
    </row>
    <row r="27" spans="1:15" x14ac:dyDescent="0.25">
      <c r="A27" t="s">
        <v>45</v>
      </c>
    </row>
    <row r="28" spans="1:15" x14ac:dyDescent="0.25">
      <c r="A28" t="s">
        <v>46</v>
      </c>
    </row>
    <row r="30" spans="1:15" x14ac:dyDescent="0.25">
      <c r="A30" s="2" t="s">
        <v>48</v>
      </c>
    </row>
    <row r="69" spans="1:7" x14ac:dyDescent="0.25">
      <c r="A69" s="2" t="s">
        <v>57</v>
      </c>
    </row>
    <row r="71" spans="1:7" x14ac:dyDescent="0.25">
      <c r="A71" t="s">
        <v>58</v>
      </c>
    </row>
    <row r="72" spans="1:7" x14ac:dyDescent="0.25">
      <c r="A72" t="s">
        <v>59</v>
      </c>
      <c r="G72">
        <v>14510</v>
      </c>
    </row>
    <row r="73" spans="1:7" x14ac:dyDescent="0.25">
      <c r="A73" t="s">
        <v>60</v>
      </c>
      <c r="E73" s="5">
        <f xml:space="preserve"> 220+1200+2400+6000+10200</f>
        <v>20020</v>
      </c>
      <c r="G73">
        <v>20020</v>
      </c>
    </row>
    <row r="74" spans="1:7" x14ac:dyDescent="0.25">
      <c r="A74" t="s">
        <v>61</v>
      </c>
      <c r="E74" s="5">
        <f>E73-0.5*11020</f>
        <v>14510</v>
      </c>
      <c r="G74">
        <v>14510</v>
      </c>
    </row>
    <row r="106" spans="1:6" x14ac:dyDescent="0.25">
      <c r="A106" s="2" t="s">
        <v>69</v>
      </c>
    </row>
    <row r="107" spans="1:6" x14ac:dyDescent="0.25">
      <c r="A107">
        <f>5300+3000+1040+770+180</f>
        <v>10290</v>
      </c>
      <c r="B107" t="s">
        <v>39</v>
      </c>
      <c r="E107" s="5" t="s">
        <v>68</v>
      </c>
      <c r="F107" s="7">
        <f>180+770+1040+3000+5300</f>
        <v>10290</v>
      </c>
    </row>
    <row r="136" spans="1:7" x14ac:dyDescent="0.25">
      <c r="A136" s="2" t="s">
        <v>76</v>
      </c>
    </row>
    <row r="137" spans="1:7" x14ac:dyDescent="0.25">
      <c r="F137" s="7" t="s">
        <v>84</v>
      </c>
    </row>
    <row r="138" spans="1:7" x14ac:dyDescent="0.25">
      <c r="F138" s="7" t="s">
        <v>85</v>
      </c>
    </row>
    <row r="139" spans="1:7" x14ac:dyDescent="0.25">
      <c r="F139" s="7" t="s">
        <v>86</v>
      </c>
    </row>
    <row r="140" spans="1:7" x14ac:dyDescent="0.25">
      <c r="F140" s="7" t="s">
        <v>87</v>
      </c>
      <c r="G140">
        <f>514*0.58</f>
        <v>298.12</v>
      </c>
    </row>
    <row r="141" spans="1:7" x14ac:dyDescent="0.25">
      <c r="F141" s="7" t="s">
        <v>88</v>
      </c>
      <c r="G141">
        <f>514*0.22</f>
        <v>113.08</v>
      </c>
    </row>
    <row r="142" spans="1:7" x14ac:dyDescent="0.25">
      <c r="F142" s="7" t="s">
        <v>89</v>
      </c>
      <c r="G142">
        <f>514*0.2</f>
        <v>102.80000000000001</v>
      </c>
    </row>
    <row r="143" spans="1:7" x14ac:dyDescent="0.25">
      <c r="F143" s="7" t="s">
        <v>90</v>
      </c>
      <c r="G143">
        <f>500*0.6</f>
        <v>300</v>
      </c>
    </row>
    <row r="144" spans="1:7" x14ac:dyDescent="0.25">
      <c r="F144" s="7" t="s">
        <v>91</v>
      </c>
      <c r="G144">
        <f>500*0.4*0.94</f>
        <v>188</v>
      </c>
    </row>
    <row r="145" spans="1:7" x14ac:dyDescent="0.25">
      <c r="F145" s="7" t="s">
        <v>92</v>
      </c>
      <c r="G145">
        <f>500*0.4*0.06</f>
        <v>12</v>
      </c>
    </row>
    <row r="146" spans="1:7" x14ac:dyDescent="0.25">
      <c r="F146" s="7" t="s">
        <v>21</v>
      </c>
      <c r="G146">
        <v>500</v>
      </c>
    </row>
    <row r="154" spans="1:7" x14ac:dyDescent="0.25">
      <c r="A154" s="2" t="s">
        <v>77</v>
      </c>
    </row>
    <row r="191" spans="1:1" x14ac:dyDescent="0.25">
      <c r="A191" s="2" t="s">
        <v>78</v>
      </c>
    </row>
    <row r="192" spans="1:1" x14ac:dyDescent="0.25">
      <c r="A192" s="4" t="s">
        <v>79</v>
      </c>
    </row>
    <row r="193" spans="1:1" x14ac:dyDescent="0.25">
      <c r="A193" s="4" t="s">
        <v>80</v>
      </c>
    </row>
    <row r="194" spans="1:1" x14ac:dyDescent="0.25">
      <c r="A194" s="4" t="s">
        <v>81</v>
      </c>
    </row>
    <row r="195" spans="1:1" x14ac:dyDescent="0.25">
      <c r="A195" s="4" t="s">
        <v>82</v>
      </c>
    </row>
    <row r="221" spans="1:1" x14ac:dyDescent="0.25">
      <c r="A221" s="2" t="s">
        <v>113</v>
      </c>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C1532-2A17-42C0-833D-C35B11CA4CE1}">
  <dimension ref="A1:Q222"/>
  <sheetViews>
    <sheetView topLeftCell="F1" workbookViewId="0">
      <selection activeCell="F1" sqref="F1"/>
    </sheetView>
  </sheetViews>
  <sheetFormatPr defaultRowHeight="15" x14ac:dyDescent="0.25"/>
  <cols>
    <col min="1" max="1" width="23.7109375" customWidth="1"/>
    <col min="3" max="4" width="14.5703125" customWidth="1"/>
    <col min="5" max="5" width="13.5703125" style="5" customWidth="1"/>
    <col min="6" max="6" width="17.42578125" style="7" customWidth="1"/>
    <col min="8" max="10" width="8.85546875" style="8"/>
    <col min="11" max="11" width="8.85546875" style="1"/>
    <col min="12" max="12" width="11.7109375" style="6" customWidth="1"/>
    <col min="13" max="13" width="15.28515625" customWidth="1"/>
    <col min="14" max="14" width="8.85546875" style="8"/>
    <col min="15" max="15" width="12" customWidth="1"/>
    <col min="16" max="16" width="12.42578125" customWidth="1"/>
  </cols>
  <sheetData>
    <row r="1" spans="1:17" x14ac:dyDescent="0.25">
      <c r="F1" s="30" t="s">
        <v>157</v>
      </c>
    </row>
    <row r="2" spans="1:17" ht="60" x14ac:dyDescent="0.25">
      <c r="A2" s="1" t="s">
        <v>0</v>
      </c>
      <c r="B2" s="1" t="s">
        <v>1</v>
      </c>
      <c r="C2" s="1" t="s">
        <v>74</v>
      </c>
      <c r="D2" s="1" t="s">
        <v>73</v>
      </c>
      <c r="E2" s="1" t="s">
        <v>75</v>
      </c>
      <c r="F2" s="6" t="s">
        <v>101</v>
      </c>
      <c r="G2" s="1" t="s">
        <v>103</v>
      </c>
      <c r="H2" s="9" t="s">
        <v>104</v>
      </c>
      <c r="I2"/>
      <c r="J2" s="9" t="s">
        <v>104</v>
      </c>
      <c r="K2" s="1" t="s">
        <v>112</v>
      </c>
      <c r="L2" s="6" t="s">
        <v>117</v>
      </c>
      <c r="M2" s="1" t="s">
        <v>118</v>
      </c>
      <c r="N2" s="9" t="s">
        <v>119</v>
      </c>
      <c r="O2" s="1" t="s">
        <v>0</v>
      </c>
      <c r="Q2" s="9" t="s">
        <v>119</v>
      </c>
    </row>
    <row r="3" spans="1:17" x14ac:dyDescent="0.25">
      <c r="A3" t="s">
        <v>2</v>
      </c>
      <c r="B3">
        <v>38000</v>
      </c>
      <c r="C3">
        <f>10.1*0.45</f>
        <v>4.5449999999999999</v>
      </c>
      <c r="D3" s="3">
        <f>B3*C3</f>
        <v>172710</v>
      </c>
      <c r="E3" s="5">
        <v>280</v>
      </c>
      <c r="F3" s="7">
        <f>D3*E3</f>
        <v>48358800</v>
      </c>
      <c r="G3">
        <f>F3/$F$25</f>
        <v>0.23517529333418596</v>
      </c>
      <c r="H3" s="8">
        <f>100*G3</f>
        <v>23.517529333418597</v>
      </c>
      <c r="I3"/>
      <c r="J3"/>
      <c r="K3" s="1">
        <v>191.25</v>
      </c>
      <c r="L3" s="6">
        <f>D3*K3</f>
        <v>33030787.5</v>
      </c>
      <c r="M3" s="10">
        <f>L3/$L$25</f>
        <v>0.31225333089008256</v>
      </c>
      <c r="N3" s="8">
        <f>M3*100</f>
        <v>31.225333089008256</v>
      </c>
      <c r="O3" t="s">
        <v>120</v>
      </c>
    </row>
    <row r="4" spans="1:17" x14ac:dyDescent="0.25">
      <c r="A4" t="s">
        <v>3</v>
      </c>
      <c r="B4">
        <v>38000</v>
      </c>
      <c r="C4">
        <v>4.5449999999999999</v>
      </c>
      <c r="D4" s="3">
        <f t="shared" ref="D4:D7" si="0">B4*C4</f>
        <v>172710</v>
      </c>
      <c r="E4" s="5">
        <v>280</v>
      </c>
      <c r="F4" s="7">
        <f t="shared" ref="F4:F22" si="1">D4*E4</f>
        <v>48358800</v>
      </c>
      <c r="G4">
        <f t="shared" ref="G4:G22" si="2">F4/$F$25</f>
        <v>0.23517529333418596</v>
      </c>
      <c r="H4" s="8">
        <f t="shared" ref="H4:H22" si="3">100*G4</f>
        <v>23.517529333418597</v>
      </c>
      <c r="I4"/>
      <c r="J4"/>
      <c r="K4" s="1">
        <v>191.25</v>
      </c>
      <c r="L4" s="6">
        <f t="shared" ref="L4:L22" si="4">D4*K4</f>
        <v>33030787.5</v>
      </c>
      <c r="M4" s="10">
        <f t="shared" ref="M4:M22" si="5">L4/$L$25</f>
        <v>0.31225333089008256</v>
      </c>
      <c r="N4" s="8">
        <f t="shared" ref="N4:N22" si="6">M4*100</f>
        <v>31.225333089008256</v>
      </c>
      <c r="O4" t="s">
        <v>121</v>
      </c>
    </row>
    <row r="5" spans="1:17" x14ac:dyDescent="0.25">
      <c r="A5" t="s">
        <v>4</v>
      </c>
      <c r="B5">
        <v>38000</v>
      </c>
      <c r="C5">
        <v>1.01</v>
      </c>
      <c r="D5" s="3">
        <f t="shared" si="0"/>
        <v>38380</v>
      </c>
      <c r="E5" s="5">
        <v>280</v>
      </c>
      <c r="F5" s="7">
        <f t="shared" si="1"/>
        <v>10746400</v>
      </c>
      <c r="G5">
        <f t="shared" si="2"/>
        <v>5.2261176296485766E-2</v>
      </c>
      <c r="H5" s="8">
        <f t="shared" si="3"/>
        <v>5.2261176296485763</v>
      </c>
      <c r="I5" t="s">
        <v>105</v>
      </c>
      <c r="J5" s="8">
        <f>SUM(H3:H5)</f>
        <v>52.261176296485772</v>
      </c>
      <c r="K5" s="1">
        <v>191.25</v>
      </c>
      <c r="L5" s="6">
        <f t="shared" si="4"/>
        <v>7340175</v>
      </c>
      <c r="M5" s="10">
        <f t="shared" si="5"/>
        <v>6.9389629086685015E-2</v>
      </c>
      <c r="N5" s="8">
        <f t="shared" si="6"/>
        <v>6.9389629086685014</v>
      </c>
      <c r="O5" t="s">
        <v>122</v>
      </c>
      <c r="P5" t="s">
        <v>105</v>
      </c>
      <c r="Q5" s="8">
        <f>SUM(N3:N5)</f>
        <v>69.389629086685019</v>
      </c>
    </row>
    <row r="6" spans="1:17" x14ac:dyDescent="0.25">
      <c r="A6" t="s">
        <v>5</v>
      </c>
      <c r="B6">
        <f>0.71*B5</f>
        <v>26980</v>
      </c>
      <c r="C6">
        <v>1.5</v>
      </c>
      <c r="D6" s="3">
        <f t="shared" si="0"/>
        <v>40470</v>
      </c>
      <c r="E6" s="5">
        <v>100</v>
      </c>
      <c r="F6" s="7">
        <f t="shared" si="1"/>
        <v>4047000</v>
      </c>
      <c r="G6">
        <f t="shared" si="2"/>
        <v>1.9681100691569076E-2</v>
      </c>
      <c r="H6" s="8">
        <f t="shared" si="3"/>
        <v>1.9681100691569076</v>
      </c>
      <c r="I6"/>
      <c r="J6"/>
      <c r="K6" s="1">
        <v>37</v>
      </c>
      <c r="L6" s="6">
        <f t="shared" si="4"/>
        <v>1497390</v>
      </c>
      <c r="M6" s="10">
        <f t="shared" si="5"/>
        <v>1.4155430449289189E-2</v>
      </c>
      <c r="N6" s="8">
        <f t="shared" si="6"/>
        <v>1.415543044928919</v>
      </c>
      <c r="O6" t="s">
        <v>5</v>
      </c>
    </row>
    <row r="7" spans="1:17" x14ac:dyDescent="0.25">
      <c r="A7" t="s">
        <v>6</v>
      </c>
      <c r="B7">
        <v>11020</v>
      </c>
      <c r="C7">
        <v>2</v>
      </c>
      <c r="D7" s="3">
        <f t="shared" si="0"/>
        <v>22040</v>
      </c>
      <c r="E7" s="5">
        <v>150</v>
      </c>
      <c r="F7" s="7">
        <f t="shared" si="1"/>
        <v>3306000</v>
      </c>
      <c r="G7">
        <f t="shared" si="2"/>
        <v>1.6077518874802906E-2</v>
      </c>
      <c r="H7" s="8">
        <f t="shared" si="3"/>
        <v>1.6077518874802905</v>
      </c>
      <c r="I7"/>
      <c r="J7"/>
      <c r="K7" s="1">
        <v>37</v>
      </c>
      <c r="L7" s="6">
        <f t="shared" si="4"/>
        <v>815480</v>
      </c>
      <c r="M7" s="10">
        <f t="shared" si="5"/>
        <v>7.7090607141668821E-3</v>
      </c>
      <c r="N7" s="8">
        <f t="shared" si="6"/>
        <v>0.77090607141668821</v>
      </c>
      <c r="O7" t="s">
        <v>6</v>
      </c>
    </row>
    <row r="8" spans="1:17" x14ac:dyDescent="0.25">
      <c r="A8" t="s">
        <v>7</v>
      </c>
      <c r="B8">
        <v>11020</v>
      </c>
      <c r="C8" t="s">
        <v>56</v>
      </c>
      <c r="D8" s="3">
        <v>14510</v>
      </c>
      <c r="E8" s="5">
        <v>125</v>
      </c>
      <c r="F8" s="7">
        <f t="shared" si="1"/>
        <v>1813750</v>
      </c>
      <c r="G8">
        <f t="shared" si="2"/>
        <v>8.8205081243719809E-3</v>
      </c>
      <c r="H8" s="8">
        <f t="shared" si="3"/>
        <v>0.88205081243719807</v>
      </c>
      <c r="I8"/>
      <c r="J8"/>
      <c r="K8" s="1">
        <v>37</v>
      </c>
      <c r="L8" s="6">
        <f t="shared" si="4"/>
        <v>536870</v>
      </c>
      <c r="M8" s="10">
        <f t="shared" si="5"/>
        <v>5.0752482287913549E-3</v>
      </c>
      <c r="N8" s="8">
        <f t="shared" si="6"/>
        <v>0.50752482287913547</v>
      </c>
      <c r="O8" t="s">
        <v>7</v>
      </c>
    </row>
    <row r="9" spans="1:17" x14ac:dyDescent="0.25">
      <c r="A9" t="s">
        <v>8</v>
      </c>
      <c r="B9">
        <v>11020</v>
      </c>
      <c r="C9" t="s">
        <v>56</v>
      </c>
      <c r="D9" s="3">
        <v>20020</v>
      </c>
      <c r="E9" s="5">
        <v>150</v>
      </c>
      <c r="F9" s="7">
        <f t="shared" si="1"/>
        <v>3003000</v>
      </c>
      <c r="G9">
        <f t="shared" si="2"/>
        <v>1.4603989467947104E-2</v>
      </c>
      <c r="H9" s="8">
        <f t="shared" si="3"/>
        <v>1.4603989467947105</v>
      </c>
      <c r="I9" t="s">
        <v>106</v>
      </c>
      <c r="J9" s="8">
        <f>SUM(H6:H9)</f>
        <v>5.9183117158691072</v>
      </c>
      <c r="K9" s="1">
        <v>37</v>
      </c>
      <c r="L9" s="6">
        <f t="shared" si="4"/>
        <v>740740</v>
      </c>
      <c r="M9" s="10">
        <f t="shared" si="5"/>
        <v>7.0025134073330754E-3</v>
      </c>
      <c r="N9" s="8">
        <f t="shared" si="6"/>
        <v>0.70025134073330753</v>
      </c>
      <c r="O9" t="s">
        <v>8</v>
      </c>
      <c r="P9" t="s">
        <v>106</v>
      </c>
      <c r="Q9" s="8">
        <f>SUM(N6:N9)</f>
        <v>3.3942252799580506</v>
      </c>
    </row>
    <row r="10" spans="1:17" x14ac:dyDescent="0.25">
      <c r="A10" t="s">
        <v>9</v>
      </c>
      <c r="B10">
        <v>38000</v>
      </c>
      <c r="C10">
        <v>1.5</v>
      </c>
      <c r="D10" s="3">
        <f>B10*C10</f>
        <v>57000</v>
      </c>
      <c r="E10" s="5">
        <v>311</v>
      </c>
      <c r="F10" s="7">
        <f t="shared" si="1"/>
        <v>17727000</v>
      </c>
      <c r="G10">
        <f t="shared" si="2"/>
        <v>8.6208765001098336E-2</v>
      </c>
      <c r="H10" s="8">
        <f t="shared" si="3"/>
        <v>8.6208765001098335</v>
      </c>
      <c r="I10"/>
      <c r="J10"/>
      <c r="K10" s="1">
        <v>125</v>
      </c>
      <c r="L10" s="6">
        <f t="shared" si="4"/>
        <v>7125000</v>
      </c>
      <c r="M10" s="10">
        <f t="shared" si="5"/>
        <v>6.735549319227821E-2</v>
      </c>
      <c r="N10" s="8">
        <f t="shared" si="6"/>
        <v>6.7355493192278209</v>
      </c>
      <c r="O10" t="s">
        <v>9</v>
      </c>
    </row>
    <row r="11" spans="1:17" x14ac:dyDescent="0.25">
      <c r="A11" t="s">
        <v>10</v>
      </c>
      <c r="B11">
        <v>38000</v>
      </c>
      <c r="C11">
        <v>1.7</v>
      </c>
      <c r="D11" s="3">
        <f t="shared" ref="D11:D21" si="7">B11*C11</f>
        <v>64600</v>
      </c>
      <c r="E11" s="5">
        <v>275</v>
      </c>
      <c r="F11" s="7">
        <f t="shared" si="1"/>
        <v>17765000</v>
      </c>
      <c r="G11">
        <f t="shared" si="2"/>
        <v>8.6393564068624806E-2</v>
      </c>
      <c r="H11" s="8">
        <f t="shared" si="3"/>
        <v>8.6393564068624809</v>
      </c>
      <c r="I11" t="s">
        <v>107</v>
      </c>
      <c r="J11" s="8">
        <f>SUM(H10:H11)</f>
        <v>17.260232906972313</v>
      </c>
      <c r="K11" s="1">
        <v>79</v>
      </c>
      <c r="L11" s="6">
        <f t="shared" si="4"/>
        <v>5103400</v>
      </c>
      <c r="M11" s="10">
        <f t="shared" si="5"/>
        <v>4.824449459052247E-2</v>
      </c>
      <c r="N11" s="8">
        <f t="shared" si="6"/>
        <v>4.8244494590522473</v>
      </c>
      <c r="O11" t="s">
        <v>10</v>
      </c>
      <c r="P11" t="s">
        <v>107</v>
      </c>
      <c r="Q11" s="8">
        <f>SUM(N10:N11)</f>
        <v>11.559998778280068</v>
      </c>
    </row>
    <row r="12" spans="1:17" x14ac:dyDescent="0.25">
      <c r="A12" t="s">
        <v>11</v>
      </c>
      <c r="B12">
        <v>38000</v>
      </c>
      <c r="C12">
        <v>1.4</v>
      </c>
      <c r="D12" s="3">
        <f t="shared" si="7"/>
        <v>53200</v>
      </c>
      <c r="E12" s="5">
        <v>374</v>
      </c>
      <c r="F12" s="7">
        <f t="shared" si="1"/>
        <v>19896800</v>
      </c>
      <c r="G12">
        <f t="shared" si="2"/>
        <v>9.6760791756859782E-2</v>
      </c>
      <c r="H12" s="8">
        <f t="shared" si="3"/>
        <v>9.6760791756859774</v>
      </c>
      <c r="I12" t="s">
        <v>108</v>
      </c>
      <c r="J12" s="8">
        <v>9.6760791756859774</v>
      </c>
      <c r="K12" s="1">
        <v>159</v>
      </c>
      <c r="L12" s="6">
        <f t="shared" si="4"/>
        <v>8458800</v>
      </c>
      <c r="M12" s="10">
        <f t="shared" si="5"/>
        <v>7.9964441517872686E-2</v>
      </c>
      <c r="N12" s="8">
        <f t="shared" si="6"/>
        <v>7.9964441517872684</v>
      </c>
      <c r="O12" t="s">
        <v>11</v>
      </c>
      <c r="P12" t="s">
        <v>108</v>
      </c>
      <c r="Q12" s="8">
        <v>7.9964441517872684</v>
      </c>
    </row>
    <row r="13" spans="1:17" x14ac:dyDescent="0.25">
      <c r="A13" t="s">
        <v>12</v>
      </c>
      <c r="B13">
        <v>6333</v>
      </c>
      <c r="C13">
        <v>4.2</v>
      </c>
      <c r="D13" s="3">
        <f t="shared" si="7"/>
        <v>26598.600000000002</v>
      </c>
      <c r="E13" s="5">
        <v>262.8</v>
      </c>
      <c r="F13" s="7">
        <f t="shared" si="1"/>
        <v>6990112.080000001</v>
      </c>
      <c r="G13">
        <f t="shared" si="2"/>
        <v>3.3993847218145135E-2</v>
      </c>
      <c r="H13" s="8">
        <f t="shared" si="3"/>
        <v>3.3993847218145135</v>
      </c>
      <c r="I13"/>
      <c r="J13"/>
      <c r="K13" s="1">
        <v>75.599999999999994</v>
      </c>
      <c r="L13" s="6">
        <f t="shared" si="4"/>
        <v>2010854.16</v>
      </c>
      <c r="M13" s="10">
        <f t="shared" si="5"/>
        <v>1.900941385046236E-2</v>
      </c>
      <c r="N13" s="8">
        <f t="shared" si="6"/>
        <v>1.900941385046236</v>
      </c>
      <c r="O13" t="s">
        <v>12</v>
      </c>
    </row>
    <row r="14" spans="1:17" x14ac:dyDescent="0.25">
      <c r="A14" t="s">
        <v>13</v>
      </c>
      <c r="B14">
        <v>6333</v>
      </c>
      <c r="C14">
        <v>4.2</v>
      </c>
      <c r="D14" s="3">
        <f t="shared" si="7"/>
        <v>26598.600000000002</v>
      </c>
      <c r="E14" s="5">
        <v>43.800000000000004</v>
      </c>
      <c r="F14" s="7">
        <f t="shared" si="1"/>
        <v>1165018.6800000002</v>
      </c>
      <c r="G14">
        <f t="shared" si="2"/>
        <v>5.6656412030241894E-3</v>
      </c>
      <c r="H14" s="8">
        <f t="shared" si="3"/>
        <v>0.56656412030241898</v>
      </c>
      <c r="I14"/>
      <c r="J14"/>
      <c r="K14" s="1">
        <v>12.600000000000001</v>
      </c>
      <c r="L14" s="6">
        <f t="shared" si="4"/>
        <v>335142.36000000004</v>
      </c>
      <c r="M14" s="10">
        <f t="shared" si="5"/>
        <v>3.1682356417437273E-3</v>
      </c>
      <c r="N14" s="8">
        <f t="shared" si="6"/>
        <v>0.31682356417437274</v>
      </c>
      <c r="O14" t="s">
        <v>13</v>
      </c>
    </row>
    <row r="15" spans="1:17" x14ac:dyDescent="0.25">
      <c r="A15" t="s">
        <v>14</v>
      </c>
      <c r="B15">
        <v>6333</v>
      </c>
      <c r="C15">
        <v>4.2</v>
      </c>
      <c r="D15" s="3">
        <f t="shared" si="7"/>
        <v>26598.600000000002</v>
      </c>
      <c r="E15" s="5">
        <v>131.4</v>
      </c>
      <c r="F15" s="7">
        <f t="shared" si="1"/>
        <v>3495056.0400000005</v>
      </c>
      <c r="G15">
        <f t="shared" si="2"/>
        <v>1.6996923609072567E-2</v>
      </c>
      <c r="H15" s="8">
        <f t="shared" si="3"/>
        <v>1.6996923609072567</v>
      </c>
      <c r="I15"/>
      <c r="J15"/>
      <c r="K15" s="1">
        <v>37.799999999999997</v>
      </c>
      <c r="L15" s="6">
        <f t="shared" si="4"/>
        <v>1005427.08</v>
      </c>
      <c r="M15" s="10">
        <f t="shared" si="5"/>
        <v>9.5047069252311798E-3</v>
      </c>
      <c r="N15" s="8">
        <f t="shared" si="6"/>
        <v>0.950470692523118</v>
      </c>
      <c r="O15" t="s">
        <v>14</v>
      </c>
    </row>
    <row r="16" spans="1:17" x14ac:dyDescent="0.25">
      <c r="A16" t="s">
        <v>15</v>
      </c>
      <c r="B16">
        <v>6333</v>
      </c>
      <c r="C16">
        <v>2.2000000000000002</v>
      </c>
      <c r="D16" s="3">
        <f t="shared" si="7"/>
        <v>13932.6</v>
      </c>
      <c r="E16" s="5">
        <v>298.12</v>
      </c>
      <c r="F16" s="7">
        <f t="shared" si="1"/>
        <v>4153586.7120000003</v>
      </c>
      <c r="G16">
        <f t="shared" si="2"/>
        <v>2.019944608599835E-2</v>
      </c>
      <c r="H16" s="8">
        <f t="shared" si="3"/>
        <v>2.0199446085998352</v>
      </c>
      <c r="I16"/>
      <c r="J16"/>
      <c r="K16" s="1">
        <v>63.22</v>
      </c>
      <c r="L16" s="6">
        <f t="shared" si="4"/>
        <v>880818.97199999995</v>
      </c>
      <c r="M16" s="10">
        <f t="shared" si="5"/>
        <v>8.3267363189018229E-3</v>
      </c>
      <c r="N16" s="8">
        <f t="shared" si="6"/>
        <v>0.83267363189018229</v>
      </c>
      <c r="O16" t="s">
        <v>15</v>
      </c>
    </row>
    <row r="17" spans="1:17" x14ac:dyDescent="0.25">
      <c r="A17" t="s">
        <v>16</v>
      </c>
      <c r="B17">
        <v>6333</v>
      </c>
      <c r="C17">
        <v>2.2000000000000002</v>
      </c>
      <c r="D17" s="3">
        <f t="shared" si="7"/>
        <v>13932.6</v>
      </c>
      <c r="E17" s="5">
        <v>113.08</v>
      </c>
      <c r="F17" s="7">
        <f t="shared" si="1"/>
        <v>1575498.4080000001</v>
      </c>
      <c r="G17">
        <f t="shared" si="2"/>
        <v>7.6618588602062705E-3</v>
      </c>
      <c r="H17" s="8">
        <f t="shared" si="3"/>
        <v>0.76618588602062709</v>
      </c>
      <c r="I17"/>
      <c r="J17"/>
      <c r="K17" s="1">
        <v>23.98</v>
      </c>
      <c r="L17" s="6">
        <f t="shared" si="4"/>
        <v>334103.74800000002</v>
      </c>
      <c r="M17" s="10">
        <f t="shared" si="5"/>
        <v>3.1584172244110368E-3</v>
      </c>
      <c r="N17" s="8">
        <f t="shared" si="6"/>
        <v>0.3158417224411037</v>
      </c>
      <c r="O17" t="s">
        <v>16</v>
      </c>
    </row>
    <row r="18" spans="1:17" x14ac:dyDescent="0.25">
      <c r="A18" t="s">
        <v>17</v>
      </c>
      <c r="B18">
        <v>6333</v>
      </c>
      <c r="C18">
        <v>2.2000000000000002</v>
      </c>
      <c r="D18" s="3">
        <f>B18*C18</f>
        <v>13932.6</v>
      </c>
      <c r="E18" s="5">
        <v>102.80000000000001</v>
      </c>
      <c r="F18" s="7">
        <f t="shared" si="1"/>
        <v>1432271.2800000003</v>
      </c>
      <c r="G18">
        <f t="shared" si="2"/>
        <v>6.9653262365511562E-3</v>
      </c>
      <c r="H18" s="8">
        <f t="shared" si="3"/>
        <v>0.69653262365511559</v>
      </c>
      <c r="I18"/>
      <c r="J18"/>
      <c r="K18" s="1">
        <v>21.8</v>
      </c>
      <c r="L18" s="6">
        <f t="shared" si="4"/>
        <v>303730.68</v>
      </c>
      <c r="M18" s="10">
        <f t="shared" si="5"/>
        <v>2.8712883858282149E-3</v>
      </c>
      <c r="N18" s="8">
        <f t="shared" si="6"/>
        <v>0.28712883858282151</v>
      </c>
      <c r="O18" t="s">
        <v>17</v>
      </c>
    </row>
    <row r="19" spans="1:17" x14ac:dyDescent="0.25">
      <c r="A19" t="s">
        <v>18</v>
      </c>
      <c r="B19">
        <v>6333</v>
      </c>
      <c r="C19">
        <v>2.1</v>
      </c>
      <c r="D19" s="3">
        <f t="shared" si="7"/>
        <v>13299.300000000001</v>
      </c>
      <c r="E19" s="5">
        <v>300</v>
      </c>
      <c r="F19" s="7">
        <f t="shared" si="1"/>
        <v>3989790.0000000005</v>
      </c>
      <c r="G19">
        <f t="shared" si="2"/>
        <v>1.9402880832274622E-2</v>
      </c>
      <c r="H19" s="8">
        <f t="shared" si="3"/>
        <v>1.940288083227462</v>
      </c>
      <c r="I19"/>
      <c r="J19"/>
      <c r="K19" s="1">
        <v>76.2</v>
      </c>
      <c r="L19" s="6">
        <f t="shared" si="4"/>
        <v>1013406.6600000001</v>
      </c>
      <c r="M19" s="10">
        <f t="shared" si="5"/>
        <v>9.5801411071774617E-3</v>
      </c>
      <c r="N19" s="8">
        <f t="shared" si="6"/>
        <v>0.95801411071774623</v>
      </c>
      <c r="O19" t="s">
        <v>18</v>
      </c>
    </row>
    <row r="20" spans="1:17" x14ac:dyDescent="0.25">
      <c r="A20" t="s">
        <v>19</v>
      </c>
      <c r="B20">
        <v>6333</v>
      </c>
      <c r="C20">
        <v>2.1</v>
      </c>
      <c r="D20" s="3">
        <f t="shared" si="7"/>
        <v>13299.300000000001</v>
      </c>
      <c r="E20" s="5">
        <v>188</v>
      </c>
      <c r="F20" s="7">
        <f t="shared" si="1"/>
        <v>2500268.4000000004</v>
      </c>
      <c r="G20">
        <f t="shared" si="2"/>
        <v>1.2159138654892095E-2</v>
      </c>
      <c r="H20" s="8">
        <f t="shared" si="3"/>
        <v>1.2159138654892094</v>
      </c>
      <c r="I20" t="s">
        <v>109</v>
      </c>
      <c r="J20" s="8">
        <f>SUM(H14,H18,H20)</f>
        <v>2.4790106094467443</v>
      </c>
      <c r="K20" s="1">
        <v>47.752000000000002</v>
      </c>
      <c r="L20" s="6">
        <f t="shared" si="4"/>
        <v>635068.1736000001</v>
      </c>
      <c r="M20" s="10">
        <f t="shared" si="5"/>
        <v>6.0035550938312091E-3</v>
      </c>
      <c r="N20" s="8">
        <f t="shared" si="6"/>
        <v>0.60035550938312088</v>
      </c>
      <c r="O20" t="s">
        <v>19</v>
      </c>
      <c r="P20" t="s">
        <v>109</v>
      </c>
      <c r="Q20" s="8">
        <f>SUM(N14,N18,N20)</f>
        <v>1.2043079121403153</v>
      </c>
    </row>
    <row r="21" spans="1:17" x14ac:dyDescent="0.25">
      <c r="A21" t="s">
        <v>20</v>
      </c>
      <c r="B21">
        <v>6333</v>
      </c>
      <c r="C21">
        <v>2.1</v>
      </c>
      <c r="D21" s="3">
        <f t="shared" si="7"/>
        <v>13299.300000000001</v>
      </c>
      <c r="E21" s="5">
        <v>12</v>
      </c>
      <c r="F21" s="7">
        <f t="shared" si="1"/>
        <v>159591.6</v>
      </c>
      <c r="G21">
        <f t="shared" si="2"/>
        <v>7.7611523329098469E-4</v>
      </c>
      <c r="H21" s="8">
        <f t="shared" si="3"/>
        <v>7.7611523329098472E-2</v>
      </c>
      <c r="I21" t="s">
        <v>110</v>
      </c>
      <c r="J21" s="8">
        <f>SUM(H15,H17,H21)</f>
        <v>2.5434897702569823</v>
      </c>
      <c r="K21" s="1">
        <v>3.048</v>
      </c>
      <c r="L21" s="6">
        <f t="shared" si="4"/>
        <v>40536.2664</v>
      </c>
      <c r="M21" s="10">
        <f t="shared" si="5"/>
        <v>3.8320564428709841E-4</v>
      </c>
      <c r="N21" s="8">
        <f t="shared" si="6"/>
        <v>3.832056442870984E-2</v>
      </c>
      <c r="O21" t="s">
        <v>20</v>
      </c>
      <c r="P21" t="s">
        <v>110</v>
      </c>
      <c r="Q21" s="8">
        <f>SUM(N15,N17,N21)</f>
        <v>1.3046329793929317</v>
      </c>
    </row>
    <row r="22" spans="1:17" x14ac:dyDescent="0.25">
      <c r="A22" t="s">
        <v>21</v>
      </c>
      <c r="B22" t="s">
        <v>22</v>
      </c>
      <c r="C22" t="s">
        <v>22</v>
      </c>
      <c r="D22" s="3">
        <v>10290</v>
      </c>
      <c r="E22" s="5">
        <v>500</v>
      </c>
      <c r="F22" s="7">
        <f t="shared" si="1"/>
        <v>5145000</v>
      </c>
      <c r="G22">
        <f t="shared" si="2"/>
        <v>2.5020821116412871E-2</v>
      </c>
      <c r="H22" s="8">
        <f t="shared" si="3"/>
        <v>2.502082111641287</v>
      </c>
      <c r="I22" t="s">
        <v>111</v>
      </c>
      <c r="J22" s="8">
        <f>SUM(H13,H16,H19,H22)</f>
        <v>9.8616995252830968</v>
      </c>
      <c r="K22" s="1">
        <v>150</v>
      </c>
      <c r="L22" s="6">
        <f t="shared" si="4"/>
        <v>1543500</v>
      </c>
      <c r="M22" s="10">
        <f t="shared" si="5"/>
        <v>1.4591326841021953E-2</v>
      </c>
      <c r="N22" s="8">
        <f t="shared" si="6"/>
        <v>1.4591326841021954</v>
      </c>
      <c r="O22" t="s">
        <v>21</v>
      </c>
      <c r="P22" t="s">
        <v>123</v>
      </c>
      <c r="Q22" s="8">
        <f>SUM(N13,N16,N19,N22)</f>
        <v>5.1507618117563601</v>
      </c>
    </row>
    <row r="24" spans="1:17" x14ac:dyDescent="0.25">
      <c r="A24" t="s">
        <v>102</v>
      </c>
      <c r="D24" s="3">
        <f>SUM(D3,D4,D5,D6,D7,D8,D9,D10,D11,D12,D13,D16,D19,D22)</f>
        <v>719760.5</v>
      </c>
      <c r="F24" s="7">
        <f>SUM(F3:F22)</f>
        <v>205628743.20000002</v>
      </c>
      <c r="L24" s="6">
        <f>SUM(L3:L22)</f>
        <v>105782018.09999999</v>
      </c>
      <c r="O24" t="s">
        <v>102</v>
      </c>
    </row>
    <row r="25" spans="1:17" x14ac:dyDescent="0.25">
      <c r="A25" s="2" t="s">
        <v>47</v>
      </c>
      <c r="F25" s="7">
        <v>205628743.20000002</v>
      </c>
      <c r="L25" s="6">
        <v>105782018.09999999</v>
      </c>
    </row>
    <row r="26" spans="1:17" x14ac:dyDescent="0.25">
      <c r="A26" t="s">
        <v>43</v>
      </c>
    </row>
    <row r="27" spans="1:17" x14ac:dyDescent="0.25">
      <c r="A27" t="s">
        <v>44</v>
      </c>
    </row>
    <row r="28" spans="1:17" x14ac:dyDescent="0.25">
      <c r="A28" t="s">
        <v>45</v>
      </c>
    </row>
    <row r="29" spans="1:17" x14ac:dyDescent="0.25">
      <c r="A29" t="s">
        <v>46</v>
      </c>
    </row>
    <row r="31" spans="1:17" x14ac:dyDescent="0.25">
      <c r="A31" s="2" t="s">
        <v>48</v>
      </c>
    </row>
    <row r="70" spans="1:7" x14ac:dyDescent="0.25">
      <c r="A70" s="2" t="s">
        <v>57</v>
      </c>
    </row>
    <row r="72" spans="1:7" x14ac:dyDescent="0.25">
      <c r="A72" t="s">
        <v>58</v>
      </c>
    </row>
    <row r="73" spans="1:7" x14ac:dyDescent="0.25">
      <c r="A73" t="s">
        <v>59</v>
      </c>
      <c r="G73">
        <v>14510</v>
      </c>
    </row>
    <row r="74" spans="1:7" x14ac:dyDescent="0.25">
      <c r="A74" t="s">
        <v>60</v>
      </c>
      <c r="E74" s="5">
        <f xml:space="preserve"> 220+1200+2400+6000+10200</f>
        <v>20020</v>
      </c>
      <c r="G74">
        <v>20020</v>
      </c>
    </row>
    <row r="75" spans="1:7" x14ac:dyDescent="0.25">
      <c r="A75" t="s">
        <v>61</v>
      </c>
      <c r="E75" s="5">
        <f>E74-0.5*11020</f>
        <v>14510</v>
      </c>
      <c r="G75">
        <v>14510</v>
      </c>
    </row>
    <row r="107" spans="1:6" x14ac:dyDescent="0.25">
      <c r="A107" s="2" t="s">
        <v>69</v>
      </c>
    </row>
    <row r="108" spans="1:6" x14ac:dyDescent="0.25">
      <c r="A108">
        <f>5300+3000+1040+770+180</f>
        <v>10290</v>
      </c>
      <c r="B108" t="s">
        <v>39</v>
      </c>
      <c r="E108" s="5" t="s">
        <v>68</v>
      </c>
      <c r="F108" s="7">
        <f>180+770+1040+3000+5300</f>
        <v>10290</v>
      </c>
    </row>
    <row r="137" spans="1:7" x14ac:dyDescent="0.25">
      <c r="A137" s="2" t="s">
        <v>76</v>
      </c>
    </row>
    <row r="138" spans="1:7" x14ac:dyDescent="0.25">
      <c r="F138" s="7" t="s">
        <v>84</v>
      </c>
    </row>
    <row r="139" spans="1:7" x14ac:dyDescent="0.25">
      <c r="F139" s="7" t="s">
        <v>85</v>
      </c>
    </row>
    <row r="140" spans="1:7" x14ac:dyDescent="0.25">
      <c r="F140" s="7" t="s">
        <v>86</v>
      </c>
    </row>
    <row r="141" spans="1:7" x14ac:dyDescent="0.25">
      <c r="F141" s="7" t="s">
        <v>87</v>
      </c>
      <c r="G141">
        <f>514*0.58</f>
        <v>298.12</v>
      </c>
    </row>
    <row r="142" spans="1:7" x14ac:dyDescent="0.25">
      <c r="F142" s="7" t="s">
        <v>88</v>
      </c>
      <c r="G142">
        <f>514*0.22</f>
        <v>113.08</v>
      </c>
    </row>
    <row r="143" spans="1:7" x14ac:dyDescent="0.25">
      <c r="F143" s="7" t="s">
        <v>89</v>
      </c>
      <c r="G143">
        <f>514*0.2</f>
        <v>102.80000000000001</v>
      </c>
    </row>
    <row r="144" spans="1:7" x14ac:dyDescent="0.25">
      <c r="F144" s="7" t="s">
        <v>90</v>
      </c>
      <c r="G144">
        <f>500*0.6</f>
        <v>300</v>
      </c>
    </row>
    <row r="145" spans="1:7" x14ac:dyDescent="0.25">
      <c r="F145" s="7" t="s">
        <v>91</v>
      </c>
      <c r="G145">
        <f>500*0.4*0.94</f>
        <v>188</v>
      </c>
    </row>
    <row r="146" spans="1:7" x14ac:dyDescent="0.25">
      <c r="F146" s="7" t="s">
        <v>92</v>
      </c>
      <c r="G146">
        <f>500*0.4*0.06</f>
        <v>12</v>
      </c>
    </row>
    <row r="147" spans="1:7" x14ac:dyDescent="0.25">
      <c r="F147" s="7" t="s">
        <v>21</v>
      </c>
      <c r="G147">
        <v>500</v>
      </c>
    </row>
    <row r="155" spans="1:7" x14ac:dyDescent="0.25">
      <c r="A155" s="2" t="s">
        <v>77</v>
      </c>
    </row>
    <row r="192" spans="1:1" x14ac:dyDescent="0.25">
      <c r="A192" s="2" t="s">
        <v>78</v>
      </c>
    </row>
    <row r="193" spans="1:1" x14ac:dyDescent="0.25">
      <c r="A193" s="4" t="s">
        <v>79</v>
      </c>
    </row>
    <row r="194" spans="1:1" x14ac:dyDescent="0.25">
      <c r="A194" s="4" t="s">
        <v>80</v>
      </c>
    </row>
    <row r="195" spans="1:1" x14ac:dyDescent="0.25">
      <c r="A195" s="4" t="s">
        <v>81</v>
      </c>
    </row>
    <row r="196" spans="1:1" x14ac:dyDescent="0.25">
      <c r="A196" s="4" t="s">
        <v>82</v>
      </c>
    </row>
    <row r="222" spans="1:1" x14ac:dyDescent="0.25">
      <c r="A222" s="2" t="s">
        <v>113</v>
      </c>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Readme</vt:lpstr>
      <vt:lpstr>Rat Tubule Count</vt:lpstr>
      <vt:lpstr>Rat Length per Tubule</vt:lpstr>
      <vt:lpstr>Total lengths of each segment</vt:lpstr>
      <vt:lpstr>Cell count density</vt:lpstr>
      <vt:lpstr>Cell count total and percent</vt:lpstr>
      <vt:lpstr>Protein mass per mm length</vt:lpstr>
      <vt:lpstr>Total protein mass each cell ty</vt:lpstr>
      <vt:lpstr>Full table renal tubules </vt:lpstr>
      <vt:lpstr>podocytes</vt:lpstr>
      <vt:lpstr>Accounting with podocytes</vt:lpstr>
      <vt:lpstr>Complete Table Rat and Mouse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nhlbihelp</cp:lastModifiedBy>
  <dcterms:created xsi:type="dcterms:W3CDTF">2018-08-31T17:37:41Z</dcterms:created>
  <dcterms:modified xsi:type="dcterms:W3CDTF">2018-10-16T13:52:57Z</dcterms:modified>
</cp:coreProperties>
</file>